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2" i="1" l="1"/>
  <c r="AF43" i="1"/>
  <c r="AF44" i="1"/>
  <c r="AF45" i="1"/>
  <c r="AF46" i="1"/>
  <c r="S46" i="1"/>
  <c r="P46" i="1"/>
  <c r="N46" i="1"/>
  <c r="L46" i="1"/>
  <c r="S45" i="1"/>
  <c r="P45" i="1"/>
  <c r="N45" i="1"/>
  <c r="L45" i="1"/>
  <c r="S44" i="1"/>
  <c r="P44" i="1"/>
  <c r="N44" i="1"/>
  <c r="L44" i="1"/>
  <c r="S43" i="1"/>
  <c r="P43" i="1"/>
  <c r="N43" i="1"/>
  <c r="L43" i="1"/>
  <c r="S42" i="1"/>
  <c r="P42" i="1"/>
  <c r="N42" i="1"/>
  <c r="L42" i="1"/>
  <c r="AF41" i="1" l="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<sst xmlns="http://schemas.openxmlformats.org/spreadsheetml/2006/main" count="663" uniqueCount="178">
  <si>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</si>
  <si>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</si>
  <si>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</si>
  <si>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</si>
  <si>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</si>
  <si>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</si>
  <si>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</si>
  <si>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</si>
  <si>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</si>
  <si>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</si>
  <si>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</si>
  <si>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</si>
  <si>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</si>
  <si>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</si>
  <si>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</si>
  <si>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</si>
  <si>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</si>
  <si>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</si>
  <si>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</si>
  <si>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</si>
  <si>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</si>
  <si>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</si>
  <si>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</si>
  <si>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</si>
  <si>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</si>
  <si>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</si>
  <si>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</si>
  <si>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</si>
  <si>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</si>
  <si>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</si>
  <si>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</si>
  <si>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</si>
  <si>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</si>
  <si>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</si>
  <si>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Kempegowda Ward</t>
  </si>
  <si>
    <t>Yelahanka</t>
  </si>
  <si>
    <t>001-17-000067</t>
  </si>
  <si>
    <t>Providing open Gym at Yelahanka Lake in ward no 01</t>
  </si>
  <si>
    <t>Lakes</t>
  </si>
  <si>
    <t>Sri D.K Nagaraja</t>
  </si>
  <si>
    <t>P3158</t>
  </si>
  <si>
    <t>SIP Infrastructure Project works</t>
  </si>
  <si>
    <t>ddo235</t>
  </si>
  <si>
    <t xml:space="preserve"> Assistant Executive Engineer Project-1 Yelahanka Zone</t>
  </si>
  <si>
    <t>Pending</t>
  </si>
  <si>
    <t>Roads &amp; Drivablility</t>
  </si>
  <si>
    <t>Other Ward Works</t>
  </si>
  <si>
    <t>P3089</t>
  </si>
  <si>
    <t>Special Development works in 7 CMC and 1 TMC area in BBMP</t>
  </si>
  <si>
    <t>P3106</t>
  </si>
  <si>
    <t>Nagarothana Works</t>
  </si>
  <si>
    <t>Footpaths &amp; Walkability</t>
  </si>
  <si>
    <t>Trees, Parks &amp; Playgrounds</t>
  </si>
  <si>
    <t>Water &amp; Sanitary</t>
  </si>
  <si>
    <t>Technical Manager (West) KRIDL, Bangaluru</t>
  </si>
  <si>
    <t>001-17-000041</t>
  </si>
  <si>
    <t>Development and improvmeents of roads and drains in ward no 01 of Yelahanka Sub Division</t>
  </si>
  <si>
    <t xml:space="preserve">R. Lokesh,  </t>
  </si>
  <si>
    <t>ddo227</t>
  </si>
  <si>
    <t xml:space="preserve"> Assistant Executive Engineer Maruthinagara Yelhanka Zone</t>
  </si>
  <si>
    <t>001-13-000004</t>
  </si>
  <si>
    <t>Widening of Jakkur Road near Raithra Sante From NH-7 upto SWD in Yelahanka</t>
  </si>
  <si>
    <t>M/s.Sathya Construction</t>
  </si>
  <si>
    <t>P2786</t>
  </si>
  <si>
    <t>Widening and strengthening of road at Kempegowda Ward</t>
  </si>
  <si>
    <t>001-16-000027</t>
  </si>
  <si>
    <t>Repairs to Existing Park Lightings Burrial grounds and Metering to the existing Installation in Park at Yelahanka Zone in ward No 1 to 11</t>
  </si>
  <si>
    <t>M/S Sri Lakshmivaradaraja Electrical Stores</t>
  </si>
  <si>
    <t>P0298</t>
  </si>
  <si>
    <t>M and R to Electrical Installations in Parks and Gardens, Playgrounds, Burial Grounds</t>
  </si>
  <si>
    <t>ddo617</t>
  </si>
  <si>
    <t xml:space="preserve"> Executive Engineer Electrical Yelhanka Zone</t>
  </si>
  <si>
    <t>Sambashiva Reddy.C</t>
  </si>
  <si>
    <t>P1771</t>
  </si>
  <si>
    <t>Zone Works - POW Works</t>
  </si>
  <si>
    <t>Health &amp; Sanitation</t>
  </si>
  <si>
    <t>P1802</t>
  </si>
  <si>
    <t>Water Supply New Areas</t>
  </si>
  <si>
    <t>Current</t>
  </si>
  <si>
    <t>M.S.Venkatesh</t>
  </si>
  <si>
    <t>P0294</t>
  </si>
  <si>
    <t>M and R to Electrical Inst in BMP Buildings, Schools, M.Homes, Community Halls, Markets and Others</t>
  </si>
  <si>
    <t>May</t>
  </si>
  <si>
    <t>001-16-000001</t>
  </si>
  <si>
    <t>Consultancy Services for preparation of Detailed Survey, Designs, Drawings, Estimate, Bid Document, Bill of Quantities for the Work of Construction of Additional Class rooms toilet and Auditorium and Providing office accessories to Yelahanka Government Degree College Yelahanka Bangalore</t>
  </si>
  <si>
    <t>Sri.C N S Murthy</t>
  </si>
  <si>
    <t>Indira Canteen</t>
  </si>
  <si>
    <t>June</t>
  </si>
  <si>
    <t>001-15-000021</t>
  </si>
  <si>
    <t>Providing pot hole filling and patch work at Yelahanka old town area Maruthinagara areas and other areas in ward No 01 of Yelahanka Sub Division</t>
  </si>
  <si>
    <t>001-13-000054</t>
  </si>
  <si>
    <t>Providing water supply and Improvements to Dry waste Collection Center at KPTCL sub Station in Yelahanka 5th phase of ward no 1 and 2 of Yelahanka sub division</t>
  </si>
  <si>
    <t>Anilkumar S N Pro Sainath Santosh</t>
  </si>
  <si>
    <t>P2906</t>
  </si>
  <si>
    <t>Solid waste management basic infra works unde 13th finance commission grants (Est 200 Cr)</t>
  </si>
  <si>
    <t>001-16-000003</t>
  </si>
  <si>
    <t>Consultancy Services for preparation of detailed Survey, Designs, Drawings, Estimate, Bid Document, Bill of Quantities for the Work of Construction of Samudhaya Bhavana and Gym at Yelahanka Old Town in ward No.01</t>
  </si>
  <si>
    <t>Sri Gopi Reddy K</t>
  </si>
  <si>
    <t>Technical Manager(West)</t>
  </si>
  <si>
    <t>Sri.Karthik Rechan.R (M/s Rudraprasad Consultants)</t>
  </si>
  <si>
    <t>P0300</t>
  </si>
  <si>
    <t>M and R to Street Lights - Replacement of Burnt Bulbs etc. (Package)</t>
  </si>
  <si>
    <t>July</t>
  </si>
  <si>
    <t>001-16-000015</t>
  </si>
  <si>
    <t>Providing Kerb painting work and laying missing covering slabs and kerb stones at BB road yelahanka in ward No 01 of yelahanka Sub division</t>
  </si>
  <si>
    <t>R.Satheesh (Sathya Construction)</t>
  </si>
  <si>
    <t>001-16-000016</t>
  </si>
  <si>
    <t>Providing Temporary Immersion Tank for lord Ganesh Idols at near Yelahanka lake in ward No 1 of Yelahanka Sub Division</t>
  </si>
  <si>
    <t>001-16-000004</t>
  </si>
  <si>
    <t>Operation and maintenance of Street lights in Kempegowda Ward W No 1 Package Y 1</t>
  </si>
  <si>
    <t>M/s Sri Vinayaka Electricals</t>
  </si>
  <si>
    <t>001-17-000044</t>
  </si>
  <si>
    <t>Annual Maintenance of electrical Installation to BBMP buildings coming under Yelahanka zone at Ward No 1 to 4</t>
  </si>
  <si>
    <t>M/s Chowdeshwari Electricals</t>
  </si>
  <si>
    <t>August</t>
  </si>
  <si>
    <t>001-16-000025</t>
  </si>
  <si>
    <t>Maintenance to Electrical Installation to BBMP buildings coming under Yelahanka Division at Ward No 1 to 4</t>
  </si>
  <si>
    <t>Ningegowda prof  of M/s Chowdeshwari Electricals</t>
  </si>
  <si>
    <t>001-16-000009</t>
  </si>
  <si>
    <t>Engaging labour and tractor for Emergant works at yelahanka Old town area and surabhi layout in ward No 01 of Yelahanka Sub Division</t>
  </si>
  <si>
    <t>Shadayan</t>
  </si>
  <si>
    <t>001-16-000010</t>
  </si>
  <si>
    <t>Engaging labour and tractor for Emergant works at Maruthinagara sorrounding areas venkatala in ward No 01 of Yelahanka Sub Division</t>
  </si>
  <si>
    <t>Sri.K.C.Nandish(M/s Nandish Associates)</t>
  </si>
  <si>
    <t>001-16-000002</t>
  </si>
  <si>
    <t>Consultancy Services for preparation of detailed Survey, Designs, Drawings, Estimate, Bid Document, Bill of Quantities for the Work of Construction of Additional Class rooms toilet and Providing School accessories to Yelahanka Government Junior College Yelahanka Bangalore</t>
  </si>
  <si>
    <t>September</t>
  </si>
  <si>
    <t>001-17-000008</t>
  </si>
  <si>
    <t>B.B.Umesh, SMLP Construction and Asphalt</t>
  </si>
  <si>
    <t>001-17-000030</t>
  </si>
  <si>
    <t>Drilling of borewells and pipe line in ward No 01 of yelahanka Sub division.</t>
  </si>
  <si>
    <t>Jayanth.T</t>
  </si>
  <si>
    <t>October</t>
  </si>
  <si>
    <t>001-17-000062</t>
  </si>
  <si>
    <t>Drilling of borewells and providing pipe line work in ward no 01 and 02 of Yelahanka sub division</t>
  </si>
  <si>
    <t>S.Jagadhish</t>
  </si>
  <si>
    <t>Technical Manger(West)</t>
  </si>
  <si>
    <t>001-18-000022</t>
  </si>
  <si>
    <t>Improvements to Main roads and drains at Maruthi Nagara</t>
  </si>
  <si>
    <t>001-18-000021</t>
  </si>
  <si>
    <t>Improvements to Main roads and drains at Shivanahalli</t>
  </si>
  <si>
    <t>001-18-000020</t>
  </si>
  <si>
    <t>Improvements to Cross roads and drains at Srinivasapura</t>
  </si>
  <si>
    <t>December</t>
  </si>
  <si>
    <t>001-17-000024</t>
  </si>
  <si>
    <t>A.Kumar Reddy</t>
  </si>
  <si>
    <t>001-17-000016</t>
  </si>
  <si>
    <t>001-17-000011</t>
  </si>
  <si>
    <t>Bhaskar.K</t>
  </si>
  <si>
    <t>001-18-000066</t>
  </si>
  <si>
    <t>001-18-000065</t>
  </si>
  <si>
    <t>001-18-000064</t>
  </si>
  <si>
    <t>January</t>
  </si>
  <si>
    <t>001-17-000066</t>
  </si>
  <si>
    <t>Sri.D.K.Nagaraj</t>
  </si>
  <si>
    <t>M/s Newzen consultants prop. Vinayakumar.B.J</t>
  </si>
  <si>
    <t>001-17-000015</t>
  </si>
  <si>
    <t>001-17-000007</t>
  </si>
  <si>
    <t>001-17-000013</t>
  </si>
  <si>
    <t>001-17-000014</t>
  </si>
  <si>
    <t>Construction of RCC drain at Railway station and CC road at Gandhinagara 1st main 2nd cross in ward No 01 of yelahanka Sub Division</t>
  </si>
  <si>
    <t>Construction of CC road at Ashwini Hospital road yelahanka in ward No 01 of Yelahanka Sub Division</t>
  </si>
  <si>
    <t>Sri.Gangulu Reddy A</t>
  </si>
  <si>
    <t>G.Kishore Naidu</t>
  </si>
  <si>
    <t xml:space="preserve">B.R.Mohan </t>
  </si>
  <si>
    <t>February</t>
  </si>
  <si>
    <t>March</t>
  </si>
  <si>
    <t>Constructions of Culvert near Gangamma temple and fencing work in ward No 01 of yelahanka Sub division</t>
  </si>
  <si>
    <t>Providing pot hole filling at Kempegowda ward No 01 of yelahanka Sub division</t>
  </si>
  <si>
    <t>Construciton of drains at Vinayaka layout 3rd cross roads in ward No 01 of yelahanka Sub division</t>
  </si>
  <si>
    <t>construction of Drain at Gandhinagara Opposite to MEC School in ward No 01 of Yelahanka Sub Division</t>
  </si>
  <si>
    <t xml:space="preserve">Site preparation for Indira Canteen in Raithara Santhe of ward no.01 in Yelahanka Sub Division </t>
  </si>
  <si>
    <t xml:space="preserve">Construction of road and drains near farmer market in ward no.1 yelahanka sub division </t>
  </si>
  <si>
    <t xml:space="preserve">Construction of compound wall at Farmer market in ward no.1 </t>
  </si>
  <si>
    <t>PACKAGE-06 Providing and fixing furniture and interior works to Mini Vidhana Soudha at Yelahanka in ward no 01 b) Construction of Additional Floor over existing samudhaya Bhavana Near Venugopal Swamy temple in Ward No.02</t>
  </si>
  <si>
    <t>Construction of drains at Dharmaraya swamy temple road and sorrounding areas in ward No 01 of Yelahanka Sub Division</t>
  </si>
  <si>
    <t>Contruction of drain at Down Bazaar road near Nagareshwara temple and sorrounding areas in ward No 01 of Yelahanka Sub Division</t>
  </si>
  <si>
    <t>Spill Over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</si>
</sst>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5" fontId="2" fillId="0" borderId="1" xfId="0" applyNumberFormat="1" applyFont="1" applyBorder="1" applyAlignment="1">
      <alignment horizontal="center"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2" fillId="0" borderId="1" xfId="0" applyFont="1" applyFill="1" applyBorder="1" applyAlignment="1">
      <alignment horizontal="lef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tabSelected="1" workbookViewId="0">
      <pane ySplit="1" topLeftCell="A2" activePane="bottomLeft" state="frozen"/>
      <selection activeCell="H1" sqref="H1"/>
      <selection pane="bottomLeft"/>
    </sheetView>
  </sheetViews>
  <sheetFormatPr defaultRowHeight="12.75" x14ac:dyDescent="0.2"/>
  <cols>
    <col min="1" max="1" width="6" style="11" bestFit="1" customWidth="1"/>
    <col min="2" max="2" width="9.140625" style="11" bestFit="1" customWidth="1"/>
    <col min="3" max="3" width="9.5703125" style="11" customWidth="1"/>
    <col min="4" max="4" width="8.42578125" style="11" customWidth="1"/>
    <col min="5" max="5" width="16.28515625" style="12" bestFit="1" customWidth="1"/>
    <col min="6" max="6" width="10.7109375" style="12" bestFit="1" customWidth="1"/>
    <col min="7" max="8" width="9.140625" style="12" bestFit="1" customWidth="1"/>
    <col min="9" max="9" width="14.85546875" style="11" customWidth="1"/>
    <col min="10" max="10" width="14.140625" style="10" customWidth="1"/>
    <col min="11" max="11" width="22.85546875" style="11" bestFit="1" customWidth="1"/>
    <col min="12" max="12" width="7.140625" style="11" customWidth="1"/>
    <col min="13" max="13" width="9.7109375" style="11" customWidth="1"/>
    <col min="14" max="14" width="11.85546875" style="11" customWidth="1"/>
    <col min="15" max="15" width="9.42578125" style="11" customWidth="1"/>
    <col min="16" max="16" width="10.28515625" style="11" customWidth="1"/>
    <col min="17" max="17" width="10" style="11" customWidth="1"/>
    <col min="18" max="18" width="7.85546875" style="11" customWidth="1"/>
    <col min="19" max="20" width="9.5703125" style="11" bestFit="1" customWidth="1"/>
    <col min="21" max="21" width="12.7109375" style="13" customWidth="1"/>
    <col min="22" max="22" width="9" style="13" bestFit="1" customWidth="1"/>
    <col min="23" max="23" width="12.140625" style="13" customWidth="1"/>
    <col min="24" max="24" width="6.140625" style="11" customWidth="1"/>
    <col min="25" max="25" width="9.5703125" style="11" bestFit="1" customWidth="1"/>
    <col min="26" max="26" width="11.7109375" style="11" customWidth="1"/>
    <col min="27" max="27" width="18.42578125" style="10" customWidth="1"/>
    <col min="28" max="28" width="7.85546875" style="11" customWidth="1"/>
    <col min="29" max="29" width="16.85546875" style="10" customWidth="1"/>
    <col min="30" max="30" width="9.140625" style="11" customWidth="1"/>
    <col min="31" max="31" width="14.140625" style="10" customWidth="1"/>
    <col min="32" max="32" width="11.42578125" style="11" bestFit="1" customWidth="1"/>
    <col min="33" max="33" width="14" style="11" customWidth="1"/>
    <col min="34" max="16384" width="9.140625" style="10"/>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4">
        <v>1</v>
      </c>
      <c r="B2" s="5" t="s">
        <v>33</v>
      </c>
      <c r="C2" s="8">
        <v>43194</v>
      </c>
      <c r="D2" s="6">
        <v>1</v>
      </c>
      <c r="E2" s="7" t="s">
        <v>34</v>
      </c>
      <c r="F2" s="7" t="s">
        <v>35</v>
      </c>
      <c r="G2" s="7" t="s">
        <v>35</v>
      </c>
      <c r="H2" s="7" t="s">
        <v>35</v>
      </c>
      <c r="I2" s="6" t="s">
        <v>36</v>
      </c>
      <c r="J2" s="7" t="s">
        <v>37</v>
      </c>
      <c r="K2" s="14" t="s">
        <v>38</v>
      </c>
      <c r="L2" s="6" t="str">
        <f>"000017"</f>
        <v>000017</v>
      </c>
      <c r="M2" s="8">
        <v>43089</v>
      </c>
      <c r="N2" s="6" t="str">
        <f>"000058"</f>
        <v>000058</v>
      </c>
      <c r="O2" s="8">
        <v>43171</v>
      </c>
      <c r="P2" s="6" t="str">
        <f>"000067"</f>
        <v>000067</v>
      </c>
      <c r="Q2" s="8">
        <v>43171</v>
      </c>
      <c r="R2" s="6">
        <v>17</v>
      </c>
      <c r="S2" s="6" t="str">
        <f>"000134"</f>
        <v>000134</v>
      </c>
      <c r="T2" s="8">
        <v>43193</v>
      </c>
      <c r="U2" s="9">
        <v>4.2079500000000003</v>
      </c>
      <c r="V2" s="9">
        <v>0.11446000000000001</v>
      </c>
      <c r="W2" s="9">
        <v>4.0934900000000001</v>
      </c>
      <c r="X2" s="6">
        <v>1</v>
      </c>
      <c r="Y2" s="8">
        <v>43194</v>
      </c>
      <c r="Z2" s="6">
        <v>9845449405</v>
      </c>
      <c r="AA2" s="7" t="s">
        <v>39</v>
      </c>
      <c r="AB2" s="6" t="s">
        <v>40</v>
      </c>
      <c r="AC2" s="7" t="s">
        <v>41</v>
      </c>
      <c r="AD2" s="6" t="s">
        <v>42</v>
      </c>
      <c r="AE2" s="7" t="s">
        <v>43</v>
      </c>
      <c r="AF2" s="9">
        <v>4.2079500000000006E-2</v>
      </c>
      <c r="AG2" s="6" t="s">
        <v>44</v>
      </c>
    </row>
    <row r="3" spans="1:33" x14ac:dyDescent="0.2">
      <c r="A3" s="4">
        <v>238</v>
      </c>
      <c r="B3" s="5" t="s">
        <v>33</v>
      </c>
      <c r="C3" s="8">
        <v>43196</v>
      </c>
      <c r="D3" s="6">
        <v>1</v>
      </c>
      <c r="E3" s="7" t="s">
        <v>34</v>
      </c>
      <c r="F3" s="7" t="s">
        <v>35</v>
      </c>
      <c r="G3" s="7" t="s">
        <v>35</v>
      </c>
      <c r="H3" s="7" t="s">
        <v>35</v>
      </c>
      <c r="I3" s="6" t="s">
        <v>55</v>
      </c>
      <c r="J3" s="7" t="s">
        <v>56</v>
      </c>
      <c r="K3" s="14" t="s">
        <v>45</v>
      </c>
      <c r="L3" s="6" t="str">
        <f>"000110"</f>
        <v>000110</v>
      </c>
      <c r="M3" s="8">
        <v>43145</v>
      </c>
      <c r="N3" s="6" t="str">
        <f>"000014"</f>
        <v>000014</v>
      </c>
      <c r="O3" s="8">
        <v>43271</v>
      </c>
      <c r="P3" s="6" t="str">
        <f>"000025"</f>
        <v>000025</v>
      </c>
      <c r="Q3" s="8">
        <v>43279</v>
      </c>
      <c r="R3" s="6">
        <v>17</v>
      </c>
      <c r="S3" s="6" t="str">
        <f>""</f>
        <v/>
      </c>
      <c r="T3" s="8"/>
      <c r="U3" s="9">
        <v>430.32416999999998</v>
      </c>
      <c r="V3" s="9">
        <v>12.5915</v>
      </c>
      <c r="W3" s="9">
        <v>417.73266999999998</v>
      </c>
      <c r="X3" s="6">
        <v>7</v>
      </c>
      <c r="Y3" s="8">
        <v>43196</v>
      </c>
      <c r="Z3" s="6">
        <v>9980046168</v>
      </c>
      <c r="AA3" s="7" t="s">
        <v>57</v>
      </c>
      <c r="AB3" s="6" t="s">
        <v>40</v>
      </c>
      <c r="AC3" s="7" t="s">
        <v>41</v>
      </c>
      <c r="AD3" s="6" t="s">
        <v>58</v>
      </c>
      <c r="AE3" s="7" t="s">
        <v>59</v>
      </c>
      <c r="AF3" s="9">
        <v>4.3032417000000001</v>
      </c>
      <c r="AG3" s="6" t="s">
        <v>177</v>
      </c>
    </row>
    <row r="4" spans="1:33" x14ac:dyDescent="0.2">
      <c r="A4" s="4">
        <v>314</v>
      </c>
      <c r="B4" s="5" t="s">
        <v>33</v>
      </c>
      <c r="C4" s="8">
        <v>43200</v>
      </c>
      <c r="D4" s="6">
        <v>1</v>
      </c>
      <c r="E4" s="7" t="s">
        <v>34</v>
      </c>
      <c r="F4" s="7" t="s">
        <v>35</v>
      </c>
      <c r="G4" s="7" t="s">
        <v>35</v>
      </c>
      <c r="H4" s="7" t="s">
        <v>35</v>
      </c>
      <c r="I4" s="6" t="s">
        <v>60</v>
      </c>
      <c r="J4" s="7" t="s">
        <v>61</v>
      </c>
      <c r="K4" s="14" t="s">
        <v>46</v>
      </c>
      <c r="L4" s="6" t="str">
        <f>"000001"</f>
        <v>000001</v>
      </c>
      <c r="M4" s="8">
        <v>42016</v>
      </c>
      <c r="N4" s="6" t="str">
        <f>"000011"</f>
        <v>000011</v>
      </c>
      <c r="O4" s="8">
        <v>42580</v>
      </c>
      <c r="P4" s="6" t="str">
        <f>"000011"</f>
        <v>000011</v>
      </c>
      <c r="Q4" s="8">
        <v>42580</v>
      </c>
      <c r="R4" s="6">
        <v>13</v>
      </c>
      <c r="S4" s="6" t="str">
        <f>"010989"</f>
        <v>010989</v>
      </c>
      <c r="T4" s="8">
        <v>43187</v>
      </c>
      <c r="U4" s="9">
        <v>91.518100000000004</v>
      </c>
      <c r="V4" s="9">
        <v>8.4851100000000006</v>
      </c>
      <c r="W4" s="9">
        <v>83.032989999999998</v>
      </c>
      <c r="X4" s="6">
        <v>9</v>
      </c>
      <c r="Y4" s="8">
        <v>43200</v>
      </c>
      <c r="Z4" s="6">
        <v>9341705164</v>
      </c>
      <c r="AA4" s="7" t="s">
        <v>62</v>
      </c>
      <c r="AB4" s="6" t="s">
        <v>63</v>
      </c>
      <c r="AC4" s="7" t="s">
        <v>64</v>
      </c>
      <c r="AD4" s="6" t="s">
        <v>42</v>
      </c>
      <c r="AE4" s="7" t="s">
        <v>43</v>
      </c>
      <c r="AF4" s="9">
        <v>0.91518100000000002</v>
      </c>
      <c r="AG4" s="6" t="s">
        <v>44</v>
      </c>
    </row>
    <row r="5" spans="1:33" x14ac:dyDescent="0.2">
      <c r="A5" s="4">
        <v>315</v>
      </c>
      <c r="B5" s="5" t="s">
        <v>33</v>
      </c>
      <c r="C5" s="8">
        <v>43200</v>
      </c>
      <c r="D5" s="6">
        <v>1</v>
      </c>
      <c r="E5" s="7" t="s">
        <v>34</v>
      </c>
      <c r="F5" s="7" t="s">
        <v>35</v>
      </c>
      <c r="G5" s="7" t="s">
        <v>35</v>
      </c>
      <c r="H5" s="7" t="s">
        <v>35</v>
      </c>
      <c r="I5" s="6" t="s">
        <v>65</v>
      </c>
      <c r="J5" s="7" t="s">
        <v>66</v>
      </c>
      <c r="K5" s="14" t="s">
        <v>52</v>
      </c>
      <c r="L5" s="6" t="str">
        <f>"000001"</f>
        <v>000001</v>
      </c>
      <c r="M5" s="8">
        <v>42510</v>
      </c>
      <c r="N5" s="6" t="str">
        <f>"000046"</f>
        <v>000046</v>
      </c>
      <c r="O5" s="8">
        <v>42556</v>
      </c>
      <c r="P5" s="6" t="str">
        <f>"000046"</f>
        <v>000046</v>
      </c>
      <c r="Q5" s="8">
        <v>42558</v>
      </c>
      <c r="R5" s="6">
        <v>16</v>
      </c>
      <c r="S5" s="6" t="str">
        <f>"011036"</f>
        <v>011036</v>
      </c>
      <c r="T5" s="8">
        <v>43187</v>
      </c>
      <c r="U5" s="9">
        <v>0.72089999999999999</v>
      </c>
      <c r="V5" s="9">
        <v>8.004E-2</v>
      </c>
      <c r="W5" s="9">
        <v>0.64085999999999999</v>
      </c>
      <c r="X5" s="6">
        <v>9</v>
      </c>
      <c r="Y5" s="8">
        <v>43200</v>
      </c>
      <c r="Z5" s="6">
        <v>9341423529</v>
      </c>
      <c r="AA5" s="7" t="s">
        <v>67</v>
      </c>
      <c r="AB5" s="6" t="s">
        <v>68</v>
      </c>
      <c r="AC5" s="7" t="s">
        <v>69</v>
      </c>
      <c r="AD5" s="6" t="s">
        <v>70</v>
      </c>
      <c r="AE5" s="7" t="s">
        <v>71</v>
      </c>
      <c r="AF5" s="9">
        <v>7.2090000000000001E-3</v>
      </c>
      <c r="AG5" s="6" t="s">
        <v>44</v>
      </c>
    </row>
    <row r="6" spans="1:33" x14ac:dyDescent="0.2">
      <c r="A6" s="4">
        <v>800</v>
      </c>
      <c r="B6" s="5" t="s">
        <v>82</v>
      </c>
      <c r="C6" s="8">
        <v>43225</v>
      </c>
      <c r="D6" s="6">
        <v>1</v>
      </c>
      <c r="E6" s="7" t="s">
        <v>34</v>
      </c>
      <c r="F6" s="7" t="s">
        <v>35</v>
      </c>
      <c r="G6" s="7" t="s">
        <v>35</v>
      </c>
      <c r="H6" s="7" t="s">
        <v>35</v>
      </c>
      <c r="I6" s="6" t="s">
        <v>83</v>
      </c>
      <c r="J6" s="7" t="s">
        <v>84</v>
      </c>
      <c r="K6" s="14" t="s">
        <v>75</v>
      </c>
      <c r="L6" s="6" t="str">
        <f>"000015"</f>
        <v>000015</v>
      </c>
      <c r="M6" s="8">
        <v>42404</v>
      </c>
      <c r="N6" s="6" t="str">
        <f>"000044"</f>
        <v>000044</v>
      </c>
      <c r="O6" s="8">
        <v>42824</v>
      </c>
      <c r="P6" s="6" t="str">
        <f>"000044"</f>
        <v>000044</v>
      </c>
      <c r="Q6" s="8">
        <v>42824</v>
      </c>
      <c r="R6" s="6">
        <v>16</v>
      </c>
      <c r="S6" s="6" t="str">
        <f>""</f>
        <v/>
      </c>
      <c r="T6" s="8"/>
      <c r="U6" s="9">
        <v>179.01488000000001</v>
      </c>
      <c r="V6" s="9">
        <v>11.36894</v>
      </c>
      <c r="W6" s="9">
        <v>167.64594</v>
      </c>
      <c r="X6" s="6">
        <v>38</v>
      </c>
      <c r="Y6" s="8">
        <v>43225</v>
      </c>
      <c r="Z6" s="6">
        <v>9845118582</v>
      </c>
      <c r="AA6" s="7" t="s">
        <v>85</v>
      </c>
      <c r="AB6" s="6" t="s">
        <v>47</v>
      </c>
      <c r="AC6" s="7" t="s">
        <v>48</v>
      </c>
      <c r="AD6" s="6" t="s">
        <v>42</v>
      </c>
      <c r="AE6" s="7" t="s">
        <v>43</v>
      </c>
      <c r="AF6" s="9">
        <v>1.7901488000000001</v>
      </c>
      <c r="AG6" s="6" t="s">
        <v>44</v>
      </c>
    </row>
    <row r="7" spans="1:33" x14ac:dyDescent="0.2">
      <c r="A7" s="4">
        <v>905</v>
      </c>
      <c r="B7" s="5" t="s">
        <v>82</v>
      </c>
      <c r="C7" s="8">
        <v>43229</v>
      </c>
      <c r="D7" s="6">
        <v>1</v>
      </c>
      <c r="E7" s="7" t="s">
        <v>34</v>
      </c>
      <c r="F7" s="7" t="s">
        <v>35</v>
      </c>
      <c r="G7" s="7" t="s">
        <v>35</v>
      </c>
      <c r="H7" s="7" t="s">
        <v>35</v>
      </c>
      <c r="I7" s="6" t="s">
        <v>55</v>
      </c>
      <c r="J7" s="7" t="s">
        <v>56</v>
      </c>
      <c r="K7" s="14" t="s">
        <v>45</v>
      </c>
      <c r="L7" s="6" t="str">
        <f>"000110"</f>
        <v>000110</v>
      </c>
      <c r="M7" s="8">
        <v>43145</v>
      </c>
      <c r="N7" s="6" t="str">
        <f>"000014"</f>
        <v>000014</v>
      </c>
      <c r="O7" s="8">
        <v>43271</v>
      </c>
      <c r="P7" s="6" t="str">
        <f>"000025"</f>
        <v>000025</v>
      </c>
      <c r="Q7" s="8">
        <v>43279</v>
      </c>
      <c r="R7" s="6">
        <v>17</v>
      </c>
      <c r="S7" s="6" t="str">
        <f>""</f>
        <v/>
      </c>
      <c r="T7" s="8"/>
      <c r="U7" s="9">
        <v>380.56533999999999</v>
      </c>
      <c r="V7" s="9">
        <v>14.88212</v>
      </c>
      <c r="W7" s="9">
        <v>365.68322000000001</v>
      </c>
      <c r="X7" s="6">
        <v>47</v>
      </c>
      <c r="Y7" s="8">
        <v>43229</v>
      </c>
      <c r="Z7" s="6">
        <v>9980046168</v>
      </c>
      <c r="AA7" s="7" t="s">
        <v>57</v>
      </c>
      <c r="AB7" s="6" t="s">
        <v>40</v>
      </c>
      <c r="AC7" s="7" t="s">
        <v>41</v>
      </c>
      <c r="AD7" s="6" t="s">
        <v>58</v>
      </c>
      <c r="AE7" s="7" t="s">
        <v>59</v>
      </c>
      <c r="AF7" s="9">
        <v>3.8056533999999997</v>
      </c>
      <c r="AG7" s="6" t="s">
        <v>177</v>
      </c>
    </row>
    <row r="8" spans="1:33" x14ac:dyDescent="0.2">
      <c r="A8" s="4">
        <v>1283</v>
      </c>
      <c r="B8" s="5" t="s">
        <v>82</v>
      </c>
      <c r="C8" s="8">
        <v>43241</v>
      </c>
      <c r="D8" s="6">
        <v>1</v>
      </c>
      <c r="E8" s="7" t="s">
        <v>34</v>
      </c>
      <c r="F8" s="7" t="s">
        <v>35</v>
      </c>
      <c r="G8" s="7" t="s">
        <v>35</v>
      </c>
      <c r="H8" s="7" t="s">
        <v>35</v>
      </c>
      <c r="I8" s="6" t="s">
        <v>55</v>
      </c>
      <c r="J8" s="7" t="s">
        <v>56</v>
      </c>
      <c r="K8" s="14" t="s">
        <v>45</v>
      </c>
      <c r="L8" s="6" t="str">
        <f>"000110"</f>
        <v>000110</v>
      </c>
      <c r="M8" s="8">
        <v>43145</v>
      </c>
      <c r="N8" s="6" t="str">
        <f>"000014"</f>
        <v>000014</v>
      </c>
      <c r="O8" s="8">
        <v>43271</v>
      </c>
      <c r="P8" s="6" t="str">
        <f>"000025"</f>
        <v>000025</v>
      </c>
      <c r="Q8" s="8">
        <v>43279</v>
      </c>
      <c r="R8" s="6">
        <v>17</v>
      </c>
      <c r="S8" s="6" t="str">
        <f>""</f>
        <v/>
      </c>
      <c r="T8" s="8"/>
      <c r="U8" s="9">
        <v>105.95901000000001</v>
      </c>
      <c r="V8" s="9">
        <v>4.6810400000000003</v>
      </c>
      <c r="W8" s="9">
        <v>101.27797</v>
      </c>
      <c r="X8" s="6">
        <v>55</v>
      </c>
      <c r="Y8" s="8">
        <v>43241</v>
      </c>
      <c r="Z8" s="6">
        <v>9980046168</v>
      </c>
      <c r="AA8" s="7" t="s">
        <v>57</v>
      </c>
      <c r="AB8" s="6" t="s">
        <v>40</v>
      </c>
      <c r="AC8" s="7" t="s">
        <v>41</v>
      </c>
      <c r="AD8" s="6" t="s">
        <v>58</v>
      </c>
      <c r="AE8" s="7" t="s">
        <v>59</v>
      </c>
      <c r="AF8" s="9">
        <v>1.0595901000000001</v>
      </c>
      <c r="AG8" s="6" t="s">
        <v>177</v>
      </c>
    </row>
    <row r="9" spans="1:33" x14ac:dyDescent="0.2">
      <c r="A9" s="4">
        <v>1598</v>
      </c>
      <c r="B9" s="5" t="s">
        <v>87</v>
      </c>
      <c r="C9" s="8">
        <v>43252</v>
      </c>
      <c r="D9" s="6">
        <v>1</v>
      </c>
      <c r="E9" s="7" t="s">
        <v>34</v>
      </c>
      <c r="F9" s="7" t="s">
        <v>35</v>
      </c>
      <c r="G9" s="7" t="s">
        <v>35</v>
      </c>
      <c r="H9" s="7" t="s">
        <v>35</v>
      </c>
      <c r="I9" s="6" t="s">
        <v>88</v>
      </c>
      <c r="J9" s="7" t="s">
        <v>89</v>
      </c>
      <c r="K9" s="14" t="s">
        <v>45</v>
      </c>
      <c r="L9" s="6" t="str">
        <f>"000163"</f>
        <v>000163</v>
      </c>
      <c r="M9" s="8">
        <v>42207</v>
      </c>
      <c r="N9" s="6" t="str">
        <f>"000115"</f>
        <v>000115</v>
      </c>
      <c r="O9" s="8">
        <v>42308</v>
      </c>
      <c r="P9" s="6" t="str">
        <f>"000238"</f>
        <v>000238</v>
      </c>
      <c r="Q9" s="8">
        <v>42307</v>
      </c>
      <c r="R9" s="6">
        <v>15</v>
      </c>
      <c r="S9" s="6" t="str">
        <f>"001999"</f>
        <v>001999</v>
      </c>
      <c r="T9" s="8">
        <v>43246</v>
      </c>
      <c r="U9" s="9">
        <v>4.7192299999999996</v>
      </c>
      <c r="V9" s="9">
        <v>0.70421999999999996</v>
      </c>
      <c r="W9" s="9">
        <v>4.0150100000000002</v>
      </c>
      <c r="X9" s="6">
        <v>63</v>
      </c>
      <c r="Y9" s="8">
        <v>43252</v>
      </c>
      <c r="Z9" s="6">
        <v>9886155297</v>
      </c>
      <c r="AA9" s="7" t="s">
        <v>79</v>
      </c>
      <c r="AB9" s="6" t="s">
        <v>73</v>
      </c>
      <c r="AC9" s="7" t="s">
        <v>74</v>
      </c>
      <c r="AD9" s="6" t="s">
        <v>58</v>
      </c>
      <c r="AE9" s="7" t="s">
        <v>59</v>
      </c>
      <c r="AF9" s="9">
        <v>4.7192299999999993E-2</v>
      </c>
      <c r="AG9" s="6" t="s">
        <v>44</v>
      </c>
    </row>
    <row r="10" spans="1:33" x14ac:dyDescent="0.2">
      <c r="A10" s="4">
        <v>1599</v>
      </c>
      <c r="B10" s="5" t="s">
        <v>87</v>
      </c>
      <c r="C10" s="8">
        <v>43252</v>
      </c>
      <c r="D10" s="6">
        <v>1</v>
      </c>
      <c r="E10" s="7" t="s">
        <v>34</v>
      </c>
      <c r="F10" s="7" t="s">
        <v>35</v>
      </c>
      <c r="G10" s="7" t="s">
        <v>35</v>
      </c>
      <c r="H10" s="7" t="s">
        <v>35</v>
      </c>
      <c r="I10" s="6" t="s">
        <v>90</v>
      </c>
      <c r="J10" s="7" t="s">
        <v>91</v>
      </c>
      <c r="K10" s="14" t="s">
        <v>53</v>
      </c>
      <c r="L10" s="6" t="str">
        <f>"000417"</f>
        <v>000417</v>
      </c>
      <c r="M10" s="8">
        <v>41660</v>
      </c>
      <c r="N10" s="6" t="str">
        <f>"000182"</f>
        <v>000182</v>
      </c>
      <c r="O10" s="8">
        <v>42794</v>
      </c>
      <c r="P10" s="6" t="str">
        <f>"000308"</f>
        <v>000308</v>
      </c>
      <c r="Q10" s="8">
        <v>42825</v>
      </c>
      <c r="R10" s="6">
        <v>13</v>
      </c>
      <c r="S10" s="6" t="str">
        <f>"001940"</f>
        <v>001940</v>
      </c>
      <c r="T10" s="8">
        <v>43246</v>
      </c>
      <c r="U10" s="9">
        <v>13.56573</v>
      </c>
      <c r="V10" s="9">
        <v>1.9291499999999999</v>
      </c>
      <c r="W10" s="9">
        <v>11.63658</v>
      </c>
      <c r="X10" s="6">
        <v>64</v>
      </c>
      <c r="Y10" s="8">
        <v>43252</v>
      </c>
      <c r="Z10" s="6">
        <v>9686444435</v>
      </c>
      <c r="AA10" s="7" t="s">
        <v>92</v>
      </c>
      <c r="AB10" s="6" t="s">
        <v>93</v>
      </c>
      <c r="AC10" s="7" t="s">
        <v>94</v>
      </c>
      <c r="AD10" s="6" t="s">
        <v>58</v>
      </c>
      <c r="AE10" s="7" t="s">
        <v>59</v>
      </c>
      <c r="AF10" s="9">
        <v>0.13565730000000001</v>
      </c>
      <c r="AG10" s="6" t="s">
        <v>44</v>
      </c>
    </row>
    <row r="11" spans="1:33" x14ac:dyDescent="0.2">
      <c r="A11" s="4">
        <v>1600</v>
      </c>
      <c r="B11" s="5" t="s">
        <v>87</v>
      </c>
      <c r="C11" s="8">
        <v>43252</v>
      </c>
      <c r="D11" s="6">
        <v>1</v>
      </c>
      <c r="E11" s="7" t="s">
        <v>34</v>
      </c>
      <c r="F11" s="7" t="s">
        <v>35</v>
      </c>
      <c r="G11" s="7" t="s">
        <v>35</v>
      </c>
      <c r="H11" s="7" t="s">
        <v>35</v>
      </c>
      <c r="I11" s="6" t="s">
        <v>95</v>
      </c>
      <c r="J11" s="7" t="s">
        <v>96</v>
      </c>
      <c r="K11" s="14" t="s">
        <v>46</v>
      </c>
      <c r="L11" s="6" t="str">
        <f>"000013"</f>
        <v>000013</v>
      </c>
      <c r="M11" s="8">
        <v>42461</v>
      </c>
      <c r="N11" s="6" t="str">
        <f>"000004"</f>
        <v>000004</v>
      </c>
      <c r="O11" s="8">
        <v>42548</v>
      </c>
      <c r="P11" s="6" t="str">
        <f>"000004"</f>
        <v>000004</v>
      </c>
      <c r="Q11" s="8">
        <v>42548</v>
      </c>
      <c r="R11" s="6">
        <v>16</v>
      </c>
      <c r="S11" s="6" t="str">
        <f>"002554"</f>
        <v>002554</v>
      </c>
      <c r="T11" s="8">
        <v>43265</v>
      </c>
      <c r="U11" s="9">
        <v>98.848749999999995</v>
      </c>
      <c r="V11" s="9">
        <v>6.4006699999999999</v>
      </c>
      <c r="W11" s="9">
        <v>92.448080000000004</v>
      </c>
      <c r="X11" s="6">
        <v>64</v>
      </c>
      <c r="Y11" s="8">
        <v>43252</v>
      </c>
      <c r="Z11" s="6">
        <v>7760405418</v>
      </c>
      <c r="AA11" s="7" t="s">
        <v>97</v>
      </c>
      <c r="AB11" s="6" t="s">
        <v>47</v>
      </c>
      <c r="AC11" s="7" t="s">
        <v>48</v>
      </c>
      <c r="AD11" s="6" t="s">
        <v>42</v>
      </c>
      <c r="AE11" s="7" t="s">
        <v>43</v>
      </c>
      <c r="AF11" s="9">
        <v>0.98848749999999996</v>
      </c>
      <c r="AG11" s="6" t="s">
        <v>44</v>
      </c>
    </row>
    <row r="12" spans="1:33" x14ac:dyDescent="0.2">
      <c r="A12" s="4">
        <v>2187</v>
      </c>
      <c r="B12" s="5" t="s">
        <v>87</v>
      </c>
      <c r="C12" s="8">
        <v>43269</v>
      </c>
      <c r="D12" s="6">
        <v>1</v>
      </c>
      <c r="E12" s="7" t="s">
        <v>34</v>
      </c>
      <c r="F12" s="7" t="s">
        <v>35</v>
      </c>
      <c r="G12" s="7" t="s">
        <v>35</v>
      </c>
      <c r="H12" s="7" t="s">
        <v>35</v>
      </c>
      <c r="I12" s="6" t="s">
        <v>95</v>
      </c>
      <c r="J12" s="7" t="s">
        <v>96</v>
      </c>
      <c r="K12" s="14" t="s">
        <v>46</v>
      </c>
      <c r="L12" s="6" t="str">
        <f>"000013"</f>
        <v>000013</v>
      </c>
      <c r="M12" s="8">
        <v>42461</v>
      </c>
      <c r="N12" s="6" t="str">
        <f>"000004"</f>
        <v>000004</v>
      </c>
      <c r="O12" s="8">
        <v>42548</v>
      </c>
      <c r="P12" s="6" t="str">
        <f>"000004"</f>
        <v>000004</v>
      </c>
      <c r="Q12" s="8">
        <v>42548</v>
      </c>
      <c r="R12" s="6">
        <v>16</v>
      </c>
      <c r="S12" s="6" t="str">
        <f>"002554"</f>
        <v>002554</v>
      </c>
      <c r="T12" s="8">
        <v>43265</v>
      </c>
      <c r="U12" s="9">
        <v>0.95</v>
      </c>
      <c r="V12" s="9">
        <v>9.5000000000000001E-2</v>
      </c>
      <c r="W12" s="9">
        <v>0.85499999999999998</v>
      </c>
      <c r="X12" s="6">
        <v>90</v>
      </c>
      <c r="Y12" s="8">
        <v>43269</v>
      </c>
      <c r="Z12" s="6">
        <v>9611192254</v>
      </c>
      <c r="AA12" s="7" t="s">
        <v>99</v>
      </c>
      <c r="AB12" s="6" t="s">
        <v>47</v>
      </c>
      <c r="AC12" s="7" t="s">
        <v>48</v>
      </c>
      <c r="AD12" s="6" t="s">
        <v>42</v>
      </c>
      <c r="AE12" s="7" t="s">
        <v>43</v>
      </c>
      <c r="AF12" s="9">
        <v>9.4999999999999998E-3</v>
      </c>
      <c r="AG12" s="6" t="s">
        <v>44</v>
      </c>
    </row>
    <row r="13" spans="1:33" x14ac:dyDescent="0.2">
      <c r="A13" s="4">
        <v>2769</v>
      </c>
      <c r="B13" s="5" t="s">
        <v>102</v>
      </c>
      <c r="C13" s="8">
        <v>43283</v>
      </c>
      <c r="D13" s="6">
        <v>1</v>
      </c>
      <c r="E13" s="7" t="s">
        <v>34</v>
      </c>
      <c r="F13" s="7" t="s">
        <v>35</v>
      </c>
      <c r="G13" s="7" t="s">
        <v>35</v>
      </c>
      <c r="H13" s="7" t="s">
        <v>35</v>
      </c>
      <c r="I13" s="6" t="s">
        <v>103</v>
      </c>
      <c r="J13" s="7" t="s">
        <v>104</v>
      </c>
      <c r="K13" s="14" t="s">
        <v>51</v>
      </c>
      <c r="L13" s="6" t="str">
        <f>"000029"</f>
        <v>000029</v>
      </c>
      <c r="M13" s="8">
        <v>42424</v>
      </c>
      <c r="N13" s="6" t="str">
        <f>"000134"</f>
        <v>000134</v>
      </c>
      <c r="O13" s="8">
        <v>42673</v>
      </c>
      <c r="P13" s="6" t="str">
        <f>"000237"</f>
        <v>000237</v>
      </c>
      <c r="Q13" s="8">
        <v>42676</v>
      </c>
      <c r="R13" s="6">
        <v>16</v>
      </c>
      <c r="S13" s="6" t="str">
        <f>"003128"</f>
        <v>003128</v>
      </c>
      <c r="T13" s="8">
        <v>43280</v>
      </c>
      <c r="U13" s="9">
        <v>12.35727</v>
      </c>
      <c r="V13" s="9">
        <v>1.7168699999999999</v>
      </c>
      <c r="W13" s="9">
        <v>10.6404</v>
      </c>
      <c r="X13" s="6">
        <v>106</v>
      </c>
      <c r="Y13" s="8">
        <v>43283</v>
      </c>
      <c r="Z13" s="6">
        <v>9341705164</v>
      </c>
      <c r="AA13" s="7" t="s">
        <v>105</v>
      </c>
      <c r="AB13" s="6" t="s">
        <v>73</v>
      </c>
      <c r="AC13" s="7" t="s">
        <v>74</v>
      </c>
      <c r="AD13" s="6" t="s">
        <v>58</v>
      </c>
      <c r="AE13" s="7" t="s">
        <v>59</v>
      </c>
      <c r="AF13" s="9">
        <v>0.12357269999999999</v>
      </c>
      <c r="AG13" s="6" t="s">
        <v>44</v>
      </c>
    </row>
    <row r="14" spans="1:33" x14ac:dyDescent="0.2">
      <c r="A14" s="4">
        <v>2770</v>
      </c>
      <c r="B14" s="5" t="s">
        <v>102</v>
      </c>
      <c r="C14" s="8">
        <v>43283</v>
      </c>
      <c r="D14" s="6">
        <v>1</v>
      </c>
      <c r="E14" s="7" t="s">
        <v>34</v>
      </c>
      <c r="F14" s="7" t="s">
        <v>35</v>
      </c>
      <c r="G14" s="7" t="s">
        <v>35</v>
      </c>
      <c r="H14" s="7" t="s">
        <v>35</v>
      </c>
      <c r="I14" s="6" t="s">
        <v>106</v>
      </c>
      <c r="J14" s="7" t="s">
        <v>107</v>
      </c>
      <c r="K14" s="14" t="s">
        <v>38</v>
      </c>
      <c r="L14" s="6" t="str">
        <f>"000030"</f>
        <v>000030</v>
      </c>
      <c r="M14" s="8">
        <v>42424</v>
      </c>
      <c r="N14" s="6" t="str">
        <f>"000135"</f>
        <v>000135</v>
      </c>
      <c r="O14" s="8">
        <v>42673</v>
      </c>
      <c r="P14" s="6" t="str">
        <f>"000238"</f>
        <v>000238</v>
      </c>
      <c r="Q14" s="8">
        <v>42676</v>
      </c>
      <c r="R14" s="6">
        <v>16</v>
      </c>
      <c r="S14" s="6" t="str">
        <f>"003129"</f>
        <v>003129</v>
      </c>
      <c r="T14" s="8">
        <v>43280</v>
      </c>
      <c r="U14" s="9">
        <v>3.6073300000000001</v>
      </c>
      <c r="V14" s="9">
        <v>0.40044000000000002</v>
      </c>
      <c r="W14" s="9">
        <v>3.20689</v>
      </c>
      <c r="X14" s="6">
        <v>106</v>
      </c>
      <c r="Y14" s="8">
        <v>43283</v>
      </c>
      <c r="Z14" s="6">
        <v>9341705164</v>
      </c>
      <c r="AA14" s="7" t="s">
        <v>105</v>
      </c>
      <c r="AB14" s="6" t="s">
        <v>73</v>
      </c>
      <c r="AC14" s="7" t="s">
        <v>74</v>
      </c>
      <c r="AD14" s="6" t="s">
        <v>58</v>
      </c>
      <c r="AE14" s="7" t="s">
        <v>59</v>
      </c>
      <c r="AF14" s="9">
        <v>3.6073300000000003E-2</v>
      </c>
      <c r="AG14" s="6" t="s">
        <v>44</v>
      </c>
    </row>
    <row r="15" spans="1:33" x14ac:dyDescent="0.2">
      <c r="A15" s="4">
        <v>3385</v>
      </c>
      <c r="B15" s="5" t="s">
        <v>102</v>
      </c>
      <c r="C15" s="8">
        <v>43299</v>
      </c>
      <c r="D15" s="6">
        <v>1</v>
      </c>
      <c r="E15" s="7" t="s">
        <v>34</v>
      </c>
      <c r="F15" s="7" t="s">
        <v>35</v>
      </c>
      <c r="G15" s="7" t="s">
        <v>35</v>
      </c>
      <c r="H15" s="7" t="s">
        <v>35</v>
      </c>
      <c r="I15" s="6" t="s">
        <v>108</v>
      </c>
      <c r="J15" s="7" t="s">
        <v>109</v>
      </c>
      <c r="K15" s="14" t="s">
        <v>51</v>
      </c>
      <c r="L15" s="6" t="str">
        <f>"000031"</f>
        <v>000031</v>
      </c>
      <c r="M15" s="8">
        <v>42772</v>
      </c>
      <c r="N15" s="6" t="str">
        <f>"000001"</f>
        <v>000001</v>
      </c>
      <c r="O15" s="8">
        <v>43202</v>
      </c>
      <c r="P15" s="6" t="str">
        <f>"000001"</f>
        <v>000001</v>
      </c>
      <c r="Q15" s="8">
        <v>43202</v>
      </c>
      <c r="R15" s="6">
        <v>16</v>
      </c>
      <c r="S15" s="6" t="str">
        <f>"004350"</f>
        <v>004350</v>
      </c>
      <c r="T15" s="8">
        <v>43306</v>
      </c>
      <c r="U15" s="9">
        <v>3.8493400000000002</v>
      </c>
      <c r="V15" s="9">
        <v>0.25480000000000003</v>
      </c>
      <c r="W15" s="9">
        <v>3.5945399999999998</v>
      </c>
      <c r="X15" s="6">
        <v>127</v>
      </c>
      <c r="Y15" s="8">
        <v>43299</v>
      </c>
      <c r="Z15" s="6">
        <v>9060589769</v>
      </c>
      <c r="AA15" s="7" t="s">
        <v>110</v>
      </c>
      <c r="AB15" s="6" t="s">
        <v>100</v>
      </c>
      <c r="AC15" s="7" t="s">
        <v>101</v>
      </c>
      <c r="AD15" s="6" t="s">
        <v>70</v>
      </c>
      <c r="AE15" s="7" t="s">
        <v>71</v>
      </c>
      <c r="AF15" s="9">
        <v>3.8493400000000004E-2</v>
      </c>
      <c r="AG15" s="6" t="s">
        <v>177</v>
      </c>
    </row>
    <row r="16" spans="1:33" x14ac:dyDescent="0.2">
      <c r="A16" s="4">
        <v>4053</v>
      </c>
      <c r="B16" s="5" t="s">
        <v>102</v>
      </c>
      <c r="C16" s="8">
        <v>43308</v>
      </c>
      <c r="D16" s="6">
        <v>1</v>
      </c>
      <c r="E16" s="7" t="s">
        <v>34</v>
      </c>
      <c r="F16" s="7" t="s">
        <v>35</v>
      </c>
      <c r="G16" s="7" t="s">
        <v>35</v>
      </c>
      <c r="H16" s="7" t="s">
        <v>35</v>
      </c>
      <c r="I16" s="6" t="s">
        <v>108</v>
      </c>
      <c r="J16" s="7" t="s">
        <v>109</v>
      </c>
      <c r="K16" s="14" t="s">
        <v>51</v>
      </c>
      <c r="L16" s="6" t="str">
        <f>"000031"</f>
        <v>000031</v>
      </c>
      <c r="M16" s="8">
        <v>42772</v>
      </c>
      <c r="N16" s="6" t="str">
        <f>"000001"</f>
        <v>000001</v>
      </c>
      <c r="O16" s="8">
        <v>43202</v>
      </c>
      <c r="P16" s="6" t="str">
        <f>"000001"</f>
        <v>000001</v>
      </c>
      <c r="Q16" s="8">
        <v>43202</v>
      </c>
      <c r="R16" s="6">
        <v>16</v>
      </c>
      <c r="S16" s="6" t="str">
        <f>"004350"</f>
        <v>004350</v>
      </c>
      <c r="T16" s="8">
        <v>43306</v>
      </c>
      <c r="U16" s="9">
        <v>4.2618900000000002</v>
      </c>
      <c r="V16" s="9">
        <v>0.29387000000000002</v>
      </c>
      <c r="W16" s="9">
        <v>3.9680200000000001</v>
      </c>
      <c r="X16" s="6">
        <v>146</v>
      </c>
      <c r="Y16" s="8">
        <v>43308</v>
      </c>
      <c r="Z16" s="6">
        <v>9060589769</v>
      </c>
      <c r="AA16" s="7" t="s">
        <v>110</v>
      </c>
      <c r="AB16" s="6" t="s">
        <v>100</v>
      </c>
      <c r="AC16" s="7" t="s">
        <v>101</v>
      </c>
      <c r="AD16" s="6" t="s">
        <v>70</v>
      </c>
      <c r="AE16" s="7" t="s">
        <v>71</v>
      </c>
      <c r="AF16" s="9">
        <v>4.2618900000000001E-2</v>
      </c>
      <c r="AG16" s="6" t="s">
        <v>177</v>
      </c>
    </row>
    <row r="17" spans="1:33" x14ac:dyDescent="0.2">
      <c r="A17" s="4">
        <v>4054</v>
      </c>
      <c r="B17" s="5" t="s">
        <v>102</v>
      </c>
      <c r="C17" s="8">
        <v>43308</v>
      </c>
      <c r="D17" s="6">
        <v>1</v>
      </c>
      <c r="E17" s="7" t="s">
        <v>34</v>
      </c>
      <c r="F17" s="7" t="s">
        <v>35</v>
      </c>
      <c r="G17" s="7" t="s">
        <v>35</v>
      </c>
      <c r="H17" s="7" t="s">
        <v>35</v>
      </c>
      <c r="I17" s="6" t="s">
        <v>111</v>
      </c>
      <c r="J17" s="7" t="s">
        <v>112</v>
      </c>
      <c r="K17" s="14" t="s">
        <v>46</v>
      </c>
      <c r="L17" s="6" t="str">
        <f>"000023"</f>
        <v>000023</v>
      </c>
      <c r="M17" s="8">
        <v>42886</v>
      </c>
      <c r="N17" s="6" t="str">
        <f>"000010"</f>
        <v>000010</v>
      </c>
      <c r="O17" s="8">
        <v>43203</v>
      </c>
      <c r="P17" s="6" t="str">
        <f>"000010"</f>
        <v>000010</v>
      </c>
      <c r="Q17" s="8">
        <v>43203</v>
      </c>
      <c r="R17" s="6">
        <v>17</v>
      </c>
      <c r="S17" s="6" t="str">
        <f>"004397"</f>
        <v>004397</v>
      </c>
      <c r="T17" s="8">
        <v>43306</v>
      </c>
      <c r="U17" s="9">
        <v>1.48725</v>
      </c>
      <c r="V17" s="9">
        <v>6.0970000000000003E-2</v>
      </c>
      <c r="W17" s="9">
        <v>1.42628</v>
      </c>
      <c r="X17" s="6">
        <v>146</v>
      </c>
      <c r="Y17" s="8">
        <v>43308</v>
      </c>
      <c r="Z17" s="6">
        <v>9448024910</v>
      </c>
      <c r="AA17" s="7" t="s">
        <v>113</v>
      </c>
      <c r="AB17" s="6" t="s">
        <v>80</v>
      </c>
      <c r="AC17" s="7" t="s">
        <v>81</v>
      </c>
      <c r="AD17" s="6" t="s">
        <v>70</v>
      </c>
      <c r="AE17" s="7" t="s">
        <v>71</v>
      </c>
      <c r="AF17" s="9">
        <v>1.48725E-2</v>
      </c>
      <c r="AG17" s="6" t="s">
        <v>177</v>
      </c>
    </row>
    <row r="18" spans="1:33" x14ac:dyDescent="0.2">
      <c r="A18" s="4">
        <v>4352</v>
      </c>
      <c r="B18" s="5" t="s">
        <v>114</v>
      </c>
      <c r="C18" s="8">
        <v>43318</v>
      </c>
      <c r="D18" s="6">
        <v>1</v>
      </c>
      <c r="E18" s="7" t="s">
        <v>34</v>
      </c>
      <c r="F18" s="7" t="s">
        <v>35</v>
      </c>
      <c r="G18" s="7" t="s">
        <v>35</v>
      </c>
      <c r="H18" s="7" t="s">
        <v>35</v>
      </c>
      <c r="I18" s="6" t="s">
        <v>115</v>
      </c>
      <c r="J18" s="7" t="s">
        <v>116</v>
      </c>
      <c r="K18" s="14" t="s">
        <v>46</v>
      </c>
      <c r="L18" s="6" t="str">
        <f>"000011"</f>
        <v>000011</v>
      </c>
      <c r="M18" s="8">
        <v>42513</v>
      </c>
      <c r="N18" s="6" t="str">
        <f>"000007"</f>
        <v>000007</v>
      </c>
      <c r="O18" s="8">
        <v>43059</v>
      </c>
      <c r="P18" s="6" t="str">
        <f>"000007"</f>
        <v>000007</v>
      </c>
      <c r="Q18" s="8">
        <v>43059</v>
      </c>
      <c r="R18" s="6">
        <v>16</v>
      </c>
      <c r="S18" s="6" t="str">
        <f>"004878"</f>
        <v>004878</v>
      </c>
      <c r="T18" s="8">
        <v>43316</v>
      </c>
      <c r="U18" s="9">
        <v>1.2508999999999999</v>
      </c>
      <c r="V18" s="9">
        <v>0.11384</v>
      </c>
      <c r="W18" s="9">
        <v>1.13706</v>
      </c>
      <c r="X18" s="6">
        <v>157</v>
      </c>
      <c r="Y18" s="8">
        <v>43318</v>
      </c>
      <c r="Z18" s="6">
        <v>9448024910</v>
      </c>
      <c r="AA18" s="7" t="s">
        <v>117</v>
      </c>
      <c r="AB18" s="6" t="s">
        <v>80</v>
      </c>
      <c r="AC18" s="7" t="s">
        <v>81</v>
      </c>
      <c r="AD18" s="6" t="s">
        <v>70</v>
      </c>
      <c r="AE18" s="7" t="s">
        <v>71</v>
      </c>
      <c r="AF18" s="9">
        <v>1.2508999999999999E-2</v>
      </c>
      <c r="AG18" s="6" t="s">
        <v>44</v>
      </c>
    </row>
    <row r="19" spans="1:33" x14ac:dyDescent="0.2">
      <c r="A19" s="4">
        <v>4701</v>
      </c>
      <c r="B19" s="5" t="s">
        <v>114</v>
      </c>
      <c r="C19" s="8">
        <v>43326</v>
      </c>
      <c r="D19" s="6">
        <v>1</v>
      </c>
      <c r="E19" s="7" t="s">
        <v>34</v>
      </c>
      <c r="F19" s="7" t="s">
        <v>35</v>
      </c>
      <c r="G19" s="7" t="s">
        <v>35</v>
      </c>
      <c r="H19" s="7" t="s">
        <v>35</v>
      </c>
      <c r="I19" s="6" t="s">
        <v>118</v>
      </c>
      <c r="J19" s="7" t="s">
        <v>119</v>
      </c>
      <c r="K19" s="14" t="s">
        <v>46</v>
      </c>
      <c r="L19" s="6" t="str">
        <f>"000051"</f>
        <v>000051</v>
      </c>
      <c r="M19" s="8">
        <v>42458</v>
      </c>
      <c r="N19" s="6" t="str">
        <f>"000154"</f>
        <v>000154</v>
      </c>
      <c r="O19" s="8">
        <v>42775</v>
      </c>
      <c r="P19" s="6" t="str">
        <f>"000285"</f>
        <v>000285</v>
      </c>
      <c r="Q19" s="8">
        <v>42800</v>
      </c>
      <c r="R19" s="6">
        <v>16</v>
      </c>
      <c r="S19" s="6" t="str">
        <f>"004937"</f>
        <v>004937</v>
      </c>
      <c r="T19" s="8">
        <v>43318</v>
      </c>
      <c r="U19" s="9">
        <v>5.1703000000000001</v>
      </c>
      <c r="V19" s="9">
        <v>0.57393000000000005</v>
      </c>
      <c r="W19" s="9">
        <v>4.5963700000000003</v>
      </c>
      <c r="X19" s="6">
        <v>170</v>
      </c>
      <c r="Y19" s="8">
        <v>43326</v>
      </c>
      <c r="Z19" s="6">
        <v>9980326667</v>
      </c>
      <c r="AA19" s="7" t="s">
        <v>120</v>
      </c>
      <c r="AB19" s="6" t="s">
        <v>73</v>
      </c>
      <c r="AC19" s="7" t="s">
        <v>74</v>
      </c>
      <c r="AD19" s="6" t="s">
        <v>58</v>
      </c>
      <c r="AE19" s="7" t="s">
        <v>59</v>
      </c>
      <c r="AF19" s="9">
        <v>5.1702999999999999E-2</v>
      </c>
      <c r="AG19" s="6" t="s">
        <v>44</v>
      </c>
    </row>
    <row r="20" spans="1:33" x14ac:dyDescent="0.2">
      <c r="A20" s="4">
        <v>4702</v>
      </c>
      <c r="B20" s="5" t="s">
        <v>114</v>
      </c>
      <c r="C20" s="8">
        <v>43326</v>
      </c>
      <c r="D20" s="6">
        <v>1</v>
      </c>
      <c r="E20" s="7" t="s">
        <v>34</v>
      </c>
      <c r="F20" s="7" t="s">
        <v>35</v>
      </c>
      <c r="G20" s="7" t="s">
        <v>35</v>
      </c>
      <c r="H20" s="7" t="s">
        <v>35</v>
      </c>
      <c r="I20" s="6" t="s">
        <v>121</v>
      </c>
      <c r="J20" s="7" t="s">
        <v>122</v>
      </c>
      <c r="K20" s="14" t="s">
        <v>46</v>
      </c>
      <c r="L20" s="6" t="str">
        <f>"000052"</f>
        <v>000052</v>
      </c>
      <c r="M20" s="8">
        <v>42458</v>
      </c>
      <c r="N20" s="6" t="str">
        <f>"000155"</f>
        <v>000155</v>
      </c>
      <c r="O20" s="8">
        <v>42775</v>
      </c>
      <c r="P20" s="6" t="str">
        <f>"000294"</f>
        <v>000294</v>
      </c>
      <c r="Q20" s="8">
        <v>42815</v>
      </c>
      <c r="R20" s="6">
        <v>16</v>
      </c>
      <c r="S20" s="6" t="str">
        <f>"004941"</f>
        <v>004941</v>
      </c>
      <c r="T20" s="8">
        <v>43318</v>
      </c>
      <c r="U20" s="9">
        <v>5.2794299999999996</v>
      </c>
      <c r="V20" s="9">
        <v>0.58603000000000005</v>
      </c>
      <c r="W20" s="9">
        <v>4.6933999999999996</v>
      </c>
      <c r="X20" s="6">
        <v>170</v>
      </c>
      <c r="Y20" s="8">
        <v>43326</v>
      </c>
      <c r="Z20" s="6">
        <v>9980326667</v>
      </c>
      <c r="AA20" s="7" t="s">
        <v>120</v>
      </c>
      <c r="AB20" s="6" t="s">
        <v>73</v>
      </c>
      <c r="AC20" s="7" t="s">
        <v>74</v>
      </c>
      <c r="AD20" s="6" t="s">
        <v>58</v>
      </c>
      <c r="AE20" s="7" t="s">
        <v>59</v>
      </c>
      <c r="AF20" s="9">
        <v>5.2794299999999995E-2</v>
      </c>
      <c r="AG20" s="6" t="s">
        <v>44</v>
      </c>
    </row>
    <row r="21" spans="1:33" x14ac:dyDescent="0.2">
      <c r="A21" s="4">
        <v>4703</v>
      </c>
      <c r="B21" s="5" t="s">
        <v>114</v>
      </c>
      <c r="C21" s="8">
        <v>43326</v>
      </c>
      <c r="D21" s="6">
        <v>1</v>
      </c>
      <c r="E21" s="7" t="s">
        <v>34</v>
      </c>
      <c r="F21" s="7" t="s">
        <v>35</v>
      </c>
      <c r="G21" s="7" t="s">
        <v>35</v>
      </c>
      <c r="H21" s="7" t="s">
        <v>35</v>
      </c>
      <c r="I21" s="6" t="s">
        <v>83</v>
      </c>
      <c r="J21" s="7" t="s">
        <v>84</v>
      </c>
      <c r="K21" s="14" t="s">
        <v>75</v>
      </c>
      <c r="L21" s="6" t="str">
        <f>"000015"</f>
        <v>000015</v>
      </c>
      <c r="M21" s="8">
        <v>42404</v>
      </c>
      <c r="N21" s="6" t="str">
        <f>"000044"</f>
        <v>000044</v>
      </c>
      <c r="O21" s="8">
        <v>42824</v>
      </c>
      <c r="P21" s="6" t="str">
        <f>"000044"</f>
        <v>000044</v>
      </c>
      <c r="Q21" s="8">
        <v>42824</v>
      </c>
      <c r="R21" s="6">
        <v>16</v>
      </c>
      <c r="S21" s="6" t="str">
        <f>"005060"</f>
        <v>005060</v>
      </c>
      <c r="T21" s="8">
        <v>43322</v>
      </c>
      <c r="U21" s="9">
        <v>2.5762499999999999</v>
      </c>
      <c r="V21" s="9">
        <v>0.25763000000000003</v>
      </c>
      <c r="W21" s="9">
        <v>2.3186200000000001</v>
      </c>
      <c r="X21" s="6">
        <v>170</v>
      </c>
      <c r="Y21" s="8">
        <v>43326</v>
      </c>
      <c r="Z21" s="6">
        <v>9844024123</v>
      </c>
      <c r="AA21" s="7" t="s">
        <v>123</v>
      </c>
      <c r="AB21" s="6" t="s">
        <v>47</v>
      </c>
      <c r="AC21" s="7" t="s">
        <v>48</v>
      </c>
      <c r="AD21" s="6" t="s">
        <v>42</v>
      </c>
      <c r="AE21" s="7" t="s">
        <v>43</v>
      </c>
      <c r="AF21" s="9">
        <v>2.5762500000000001E-2</v>
      </c>
      <c r="AG21" s="6" t="s">
        <v>44</v>
      </c>
    </row>
    <row r="22" spans="1:33" x14ac:dyDescent="0.2">
      <c r="A22" s="4">
        <v>4704</v>
      </c>
      <c r="B22" s="5" t="s">
        <v>114</v>
      </c>
      <c r="C22" s="8">
        <v>43326</v>
      </c>
      <c r="D22" s="6">
        <v>1</v>
      </c>
      <c r="E22" s="7" t="s">
        <v>34</v>
      </c>
      <c r="F22" s="7" t="s">
        <v>35</v>
      </c>
      <c r="G22" s="7" t="s">
        <v>35</v>
      </c>
      <c r="H22" s="7" t="s">
        <v>35</v>
      </c>
      <c r="I22" s="6" t="s">
        <v>124</v>
      </c>
      <c r="J22" s="7" t="s">
        <v>125</v>
      </c>
      <c r="K22" s="14" t="s">
        <v>75</v>
      </c>
      <c r="L22" s="6" t="str">
        <f>"000012"</f>
        <v>000012</v>
      </c>
      <c r="M22" s="8">
        <v>42404</v>
      </c>
      <c r="N22" s="6" t="str">
        <f>"000045"</f>
        <v>000045</v>
      </c>
      <c r="O22" s="8">
        <v>42824</v>
      </c>
      <c r="P22" s="6" t="str">
        <f>"000045"</f>
        <v>000045</v>
      </c>
      <c r="Q22" s="8">
        <v>42824</v>
      </c>
      <c r="R22" s="6">
        <v>16</v>
      </c>
      <c r="S22" s="6" t="str">
        <f>"005061"</f>
        <v>005061</v>
      </c>
      <c r="T22" s="8">
        <v>43322</v>
      </c>
      <c r="U22" s="9">
        <v>1.4312499999999999</v>
      </c>
      <c r="V22" s="9">
        <v>0.14313000000000001</v>
      </c>
      <c r="W22" s="9">
        <v>1.2881199999999999</v>
      </c>
      <c r="X22" s="6">
        <v>170</v>
      </c>
      <c r="Y22" s="8">
        <v>43326</v>
      </c>
      <c r="Z22" s="6">
        <v>9844024123</v>
      </c>
      <c r="AA22" s="7" t="s">
        <v>123</v>
      </c>
      <c r="AB22" s="6" t="s">
        <v>47</v>
      </c>
      <c r="AC22" s="7" t="s">
        <v>48</v>
      </c>
      <c r="AD22" s="6" t="s">
        <v>42</v>
      </c>
      <c r="AE22" s="7" t="s">
        <v>43</v>
      </c>
      <c r="AF22" s="9">
        <v>1.4312499999999999E-2</v>
      </c>
      <c r="AG22" s="6" t="s">
        <v>44</v>
      </c>
    </row>
    <row r="23" spans="1:33" x14ac:dyDescent="0.2">
      <c r="A23" s="4">
        <v>5144</v>
      </c>
      <c r="B23" s="5" t="s">
        <v>126</v>
      </c>
      <c r="C23" s="8">
        <v>43344</v>
      </c>
      <c r="D23" s="6">
        <v>1</v>
      </c>
      <c r="E23" s="7" t="s">
        <v>34</v>
      </c>
      <c r="F23" s="7" t="s">
        <v>35</v>
      </c>
      <c r="G23" s="7" t="s">
        <v>35</v>
      </c>
      <c r="H23" s="7" t="s">
        <v>35</v>
      </c>
      <c r="I23" s="6" t="s">
        <v>127</v>
      </c>
      <c r="J23" s="7" t="s">
        <v>168</v>
      </c>
      <c r="K23" s="14" t="s">
        <v>45</v>
      </c>
      <c r="L23" s="6" t="str">
        <f>"000123"</f>
        <v>000123</v>
      </c>
      <c r="M23" s="8">
        <v>42800</v>
      </c>
      <c r="N23" s="6" t="str">
        <f>"000062"</f>
        <v>000062</v>
      </c>
      <c r="O23" s="8">
        <v>43153</v>
      </c>
      <c r="P23" s="6" t="str">
        <f>"000096"</f>
        <v>000096</v>
      </c>
      <c r="Q23" s="8">
        <v>43173</v>
      </c>
      <c r="R23" s="6">
        <v>17</v>
      </c>
      <c r="S23" s="6" t="str">
        <f>"005415"</f>
        <v>005415</v>
      </c>
      <c r="T23" s="8">
        <v>43340</v>
      </c>
      <c r="U23" s="9">
        <v>12.494339999999999</v>
      </c>
      <c r="V23" s="9">
        <v>1.0247999999999999</v>
      </c>
      <c r="W23" s="9">
        <v>11.46954</v>
      </c>
      <c r="X23" s="6">
        <v>185</v>
      </c>
      <c r="Y23" s="8">
        <v>43344</v>
      </c>
      <c r="Z23" s="6">
        <v>9886213563</v>
      </c>
      <c r="AA23" s="7" t="s">
        <v>128</v>
      </c>
      <c r="AB23" s="6" t="s">
        <v>73</v>
      </c>
      <c r="AC23" s="7" t="s">
        <v>74</v>
      </c>
      <c r="AD23" s="6" t="s">
        <v>58</v>
      </c>
      <c r="AE23" s="7" t="s">
        <v>59</v>
      </c>
      <c r="AF23" s="9">
        <f t="shared" ref="AF23:AF46" si="0">U23/100</f>
        <v>0.1249434</v>
      </c>
      <c r="AG23" s="6" t="s">
        <v>44</v>
      </c>
    </row>
    <row r="24" spans="1:33" x14ac:dyDescent="0.2">
      <c r="A24" s="4">
        <v>5145</v>
      </c>
      <c r="B24" s="5" t="s">
        <v>126</v>
      </c>
      <c r="C24" s="8">
        <v>43344</v>
      </c>
      <c r="D24" s="6">
        <v>1</v>
      </c>
      <c r="E24" s="7" t="s">
        <v>34</v>
      </c>
      <c r="F24" s="7" t="s">
        <v>35</v>
      </c>
      <c r="G24" s="7" t="s">
        <v>35</v>
      </c>
      <c r="H24" s="7" t="s">
        <v>35</v>
      </c>
      <c r="I24" s="6" t="s">
        <v>127</v>
      </c>
      <c r="J24" s="7" t="s">
        <v>168</v>
      </c>
      <c r="K24" s="14" t="s">
        <v>45</v>
      </c>
      <c r="L24" s="6" t="str">
        <f>"000123"</f>
        <v>000123</v>
      </c>
      <c r="M24" s="8">
        <v>42800</v>
      </c>
      <c r="N24" s="6" t="str">
        <f>"000062"</f>
        <v>000062</v>
      </c>
      <c r="O24" s="8">
        <v>43153</v>
      </c>
      <c r="P24" s="6" t="str">
        <f>"000096"</f>
        <v>000096</v>
      </c>
      <c r="Q24" s="8">
        <v>43173</v>
      </c>
      <c r="R24" s="6">
        <v>17</v>
      </c>
      <c r="S24" s="6" t="str">
        <f>"005415"</f>
        <v>005415</v>
      </c>
      <c r="T24" s="8">
        <v>43340</v>
      </c>
      <c r="U24" s="9">
        <v>8.8228299999999997</v>
      </c>
      <c r="V24" s="9">
        <v>0.99965999999999999</v>
      </c>
      <c r="W24" s="9">
        <v>7.8231700000000002</v>
      </c>
      <c r="X24" s="6">
        <v>185</v>
      </c>
      <c r="Y24" s="8">
        <v>43344</v>
      </c>
      <c r="Z24" s="6">
        <v>9886213563</v>
      </c>
      <c r="AA24" s="7" t="s">
        <v>128</v>
      </c>
      <c r="AB24" s="6" t="s">
        <v>73</v>
      </c>
      <c r="AC24" s="7" t="s">
        <v>74</v>
      </c>
      <c r="AD24" s="6" t="s">
        <v>58</v>
      </c>
      <c r="AE24" s="7" t="s">
        <v>59</v>
      </c>
      <c r="AF24" s="9">
        <f t="shared" si="0"/>
        <v>8.8228299999999996E-2</v>
      </c>
      <c r="AG24" s="6" t="s">
        <v>44</v>
      </c>
    </row>
    <row r="25" spans="1:33" x14ac:dyDescent="0.2">
      <c r="A25" s="4">
        <v>5586</v>
      </c>
      <c r="B25" s="5" t="s">
        <v>126</v>
      </c>
      <c r="C25" s="8">
        <v>43370</v>
      </c>
      <c r="D25" s="6">
        <v>1</v>
      </c>
      <c r="E25" s="7" t="s">
        <v>34</v>
      </c>
      <c r="F25" s="7" t="s">
        <v>35</v>
      </c>
      <c r="G25" s="7" t="s">
        <v>35</v>
      </c>
      <c r="H25" s="7" t="s">
        <v>35</v>
      </c>
      <c r="I25" s="6" t="s">
        <v>129</v>
      </c>
      <c r="J25" s="7" t="s">
        <v>130</v>
      </c>
      <c r="K25" s="14" t="s">
        <v>53</v>
      </c>
      <c r="L25" s="6" t="str">
        <f>"000063"</f>
        <v>000063</v>
      </c>
      <c r="M25" s="8">
        <v>43068</v>
      </c>
      <c r="N25" s="6" t="str">
        <f>"000020"</f>
        <v>000020</v>
      </c>
      <c r="O25" s="8">
        <v>43069</v>
      </c>
      <c r="P25" s="6" t="str">
        <f>"000047"</f>
        <v>000047</v>
      </c>
      <c r="Q25" s="8">
        <v>43087</v>
      </c>
      <c r="R25" s="6">
        <v>17</v>
      </c>
      <c r="S25" s="6" t="str">
        <f>"005949"</f>
        <v>005949</v>
      </c>
      <c r="T25" s="8">
        <v>43368</v>
      </c>
      <c r="U25" s="9">
        <v>19.73516</v>
      </c>
      <c r="V25" s="9">
        <v>0.81852999999999998</v>
      </c>
      <c r="W25" s="9">
        <v>18.916630000000001</v>
      </c>
      <c r="X25" s="6">
        <v>218</v>
      </c>
      <c r="Y25" s="8">
        <v>43370</v>
      </c>
      <c r="Z25" s="6">
        <v>9739449007</v>
      </c>
      <c r="AA25" s="7" t="s">
        <v>131</v>
      </c>
      <c r="AB25" s="6" t="s">
        <v>76</v>
      </c>
      <c r="AC25" s="7" t="s">
        <v>77</v>
      </c>
      <c r="AD25" s="6" t="s">
        <v>58</v>
      </c>
      <c r="AE25" s="7" t="s">
        <v>59</v>
      </c>
      <c r="AF25" s="9">
        <f t="shared" si="0"/>
        <v>0.19735160000000002</v>
      </c>
      <c r="AG25" s="6" t="s">
        <v>44</v>
      </c>
    </row>
    <row r="26" spans="1:33" x14ac:dyDescent="0.2">
      <c r="A26" s="4">
        <v>5900</v>
      </c>
      <c r="B26" s="5" t="s">
        <v>132</v>
      </c>
      <c r="C26" s="8">
        <v>43385</v>
      </c>
      <c r="D26" s="6">
        <v>1</v>
      </c>
      <c r="E26" s="7" t="s">
        <v>34</v>
      </c>
      <c r="F26" s="7" t="s">
        <v>35</v>
      </c>
      <c r="G26" s="7" t="s">
        <v>35</v>
      </c>
      <c r="H26" s="7" t="s">
        <v>35</v>
      </c>
      <c r="I26" s="6" t="s">
        <v>55</v>
      </c>
      <c r="J26" s="7" t="s">
        <v>56</v>
      </c>
      <c r="K26" s="14" t="s">
        <v>45</v>
      </c>
      <c r="L26" s="6" t="str">
        <f>"000110"</f>
        <v>000110</v>
      </c>
      <c r="M26" s="8">
        <v>43145</v>
      </c>
      <c r="N26" s="6" t="str">
        <f>"000014"</f>
        <v>000014</v>
      </c>
      <c r="O26" s="8">
        <v>43271</v>
      </c>
      <c r="P26" s="6" t="str">
        <f>"000025"</f>
        <v>000025</v>
      </c>
      <c r="Q26" s="8">
        <v>43279</v>
      </c>
      <c r="R26" s="6">
        <v>17</v>
      </c>
      <c r="S26" s="6" t="str">
        <f>"006222"</f>
        <v>006222</v>
      </c>
      <c r="T26" s="8">
        <v>43379</v>
      </c>
      <c r="U26" s="9">
        <v>330.49347</v>
      </c>
      <c r="V26" s="9">
        <v>11.8978</v>
      </c>
      <c r="W26" s="9">
        <v>318.59566999999998</v>
      </c>
      <c r="X26" s="6">
        <v>228</v>
      </c>
      <c r="Y26" s="8">
        <v>43385</v>
      </c>
      <c r="Z26" s="6">
        <v>9980046168</v>
      </c>
      <c r="AA26" s="7" t="s">
        <v>57</v>
      </c>
      <c r="AB26" s="6" t="s">
        <v>40</v>
      </c>
      <c r="AC26" s="7" t="s">
        <v>41</v>
      </c>
      <c r="AD26" s="6" t="s">
        <v>58</v>
      </c>
      <c r="AE26" s="7" t="s">
        <v>59</v>
      </c>
      <c r="AF26" s="9">
        <f t="shared" si="0"/>
        <v>3.3049347</v>
      </c>
      <c r="AG26" s="6" t="s">
        <v>177</v>
      </c>
    </row>
    <row r="27" spans="1:33" x14ac:dyDescent="0.2">
      <c r="A27" s="4">
        <v>5901</v>
      </c>
      <c r="B27" s="5" t="s">
        <v>132</v>
      </c>
      <c r="C27" s="8">
        <v>43385</v>
      </c>
      <c r="D27" s="6">
        <v>1</v>
      </c>
      <c r="E27" s="7" t="s">
        <v>34</v>
      </c>
      <c r="F27" s="7" t="s">
        <v>35</v>
      </c>
      <c r="G27" s="7" t="s">
        <v>35</v>
      </c>
      <c r="H27" s="7" t="s">
        <v>35</v>
      </c>
      <c r="I27" s="6" t="s">
        <v>55</v>
      </c>
      <c r="J27" s="7" t="s">
        <v>56</v>
      </c>
      <c r="K27" s="14" t="s">
        <v>45</v>
      </c>
      <c r="L27" s="6" t="str">
        <f>"000110"</f>
        <v>000110</v>
      </c>
      <c r="M27" s="8">
        <v>43145</v>
      </c>
      <c r="N27" s="6" t="str">
        <f>"000014"</f>
        <v>000014</v>
      </c>
      <c r="O27" s="8">
        <v>43271</v>
      </c>
      <c r="P27" s="6" t="str">
        <f>"000025"</f>
        <v>000025</v>
      </c>
      <c r="Q27" s="8">
        <v>43279</v>
      </c>
      <c r="R27" s="6">
        <v>17</v>
      </c>
      <c r="S27" s="6" t="str">
        <f>"006222"</f>
        <v>006222</v>
      </c>
      <c r="T27" s="8">
        <v>43379</v>
      </c>
      <c r="U27" s="9">
        <v>330.49347</v>
      </c>
      <c r="V27" s="9">
        <v>11.8978</v>
      </c>
      <c r="W27" s="9">
        <v>318.59566999999998</v>
      </c>
      <c r="X27" s="6">
        <v>228</v>
      </c>
      <c r="Y27" s="8">
        <v>43385</v>
      </c>
      <c r="Z27" s="6">
        <v>9980046168</v>
      </c>
      <c r="AA27" s="7" t="s">
        <v>57</v>
      </c>
      <c r="AB27" s="6" t="s">
        <v>40</v>
      </c>
      <c r="AC27" s="7" t="s">
        <v>41</v>
      </c>
      <c r="AD27" s="6" t="s">
        <v>58</v>
      </c>
      <c r="AE27" s="7" t="s">
        <v>59</v>
      </c>
      <c r="AF27" s="9">
        <f t="shared" si="0"/>
        <v>3.3049347</v>
      </c>
      <c r="AG27" s="6" t="s">
        <v>177</v>
      </c>
    </row>
    <row r="28" spans="1:33" x14ac:dyDescent="0.2">
      <c r="A28" s="4">
        <v>5902</v>
      </c>
      <c r="B28" s="5" t="s">
        <v>132</v>
      </c>
      <c r="C28" s="8">
        <v>43385</v>
      </c>
      <c r="D28" s="6">
        <v>1</v>
      </c>
      <c r="E28" s="7" t="s">
        <v>34</v>
      </c>
      <c r="F28" s="7" t="s">
        <v>35</v>
      </c>
      <c r="G28" s="7" t="s">
        <v>35</v>
      </c>
      <c r="H28" s="7" t="s">
        <v>35</v>
      </c>
      <c r="I28" s="6" t="s">
        <v>133</v>
      </c>
      <c r="J28" s="7" t="s">
        <v>134</v>
      </c>
      <c r="K28" s="15" t="s">
        <v>53</v>
      </c>
      <c r="L28" s="6" t="str">
        <f>"000016"</f>
        <v>000016</v>
      </c>
      <c r="M28" s="8">
        <v>43313</v>
      </c>
      <c r="N28" s="6" t="str">
        <f>"000030"</f>
        <v>000030</v>
      </c>
      <c r="O28" s="8">
        <v>43332</v>
      </c>
      <c r="P28" s="6" t="str">
        <f>"000043"</f>
        <v>000043</v>
      </c>
      <c r="Q28" s="8">
        <v>43332</v>
      </c>
      <c r="R28" s="6">
        <v>17</v>
      </c>
      <c r="S28" s="6" t="str">
        <f>"006590"</f>
        <v>006590</v>
      </c>
      <c r="T28" s="8">
        <v>43384</v>
      </c>
      <c r="U28" s="9">
        <v>46.409309999999998</v>
      </c>
      <c r="V28" s="9">
        <v>1.1000799999999999</v>
      </c>
      <c r="W28" s="9">
        <v>45.309229999999999</v>
      </c>
      <c r="X28" s="6">
        <v>234</v>
      </c>
      <c r="Y28" s="8">
        <v>43385</v>
      </c>
      <c r="Z28" s="6">
        <v>9886745426</v>
      </c>
      <c r="AA28" s="7" t="s">
        <v>135</v>
      </c>
      <c r="AB28" s="6" t="s">
        <v>40</v>
      </c>
      <c r="AC28" s="7" t="s">
        <v>41</v>
      </c>
      <c r="AD28" s="6" t="s">
        <v>58</v>
      </c>
      <c r="AE28" s="7" t="s">
        <v>59</v>
      </c>
      <c r="AF28" s="9">
        <f t="shared" si="0"/>
        <v>0.46409309999999998</v>
      </c>
      <c r="AG28" s="6" t="s">
        <v>78</v>
      </c>
    </row>
    <row r="29" spans="1:33" x14ac:dyDescent="0.2">
      <c r="A29" s="4">
        <v>6800</v>
      </c>
      <c r="B29" s="5" t="s">
        <v>132</v>
      </c>
      <c r="C29" s="8">
        <v>43396</v>
      </c>
      <c r="D29" s="6">
        <v>1</v>
      </c>
      <c r="E29" s="7" t="s">
        <v>34</v>
      </c>
      <c r="F29" s="7" t="s">
        <v>35</v>
      </c>
      <c r="G29" s="7" t="s">
        <v>35</v>
      </c>
      <c r="H29" s="7" t="s">
        <v>35</v>
      </c>
      <c r="I29" s="6" t="s">
        <v>137</v>
      </c>
      <c r="J29" s="7" t="s">
        <v>138</v>
      </c>
      <c r="K29" s="14" t="s">
        <v>45</v>
      </c>
      <c r="L29" s="6" t="str">
        <f>"000058"</f>
        <v>000058</v>
      </c>
      <c r="M29" s="8">
        <v>43180</v>
      </c>
      <c r="N29" s="6" t="str">
        <f>"000021"</f>
        <v>000021</v>
      </c>
      <c r="O29" s="8">
        <v>43214</v>
      </c>
      <c r="P29" s="6" t="str">
        <f>"000021"</f>
        <v>000021</v>
      </c>
      <c r="Q29" s="8">
        <v>43216</v>
      </c>
      <c r="R29" s="6">
        <v>18</v>
      </c>
      <c r="S29" s="6" t="str">
        <f>"006890"</f>
        <v>006890</v>
      </c>
      <c r="T29" s="8">
        <v>43393</v>
      </c>
      <c r="U29" s="9">
        <v>197.94548</v>
      </c>
      <c r="V29" s="9">
        <v>18.725639999999999</v>
      </c>
      <c r="W29" s="9">
        <v>179.21984</v>
      </c>
      <c r="X29" s="6">
        <v>246</v>
      </c>
      <c r="Y29" s="8">
        <v>43396</v>
      </c>
      <c r="Z29" s="6">
        <v>9449863064</v>
      </c>
      <c r="AA29" s="7" t="s">
        <v>98</v>
      </c>
      <c r="AB29" s="6" t="s">
        <v>40</v>
      </c>
      <c r="AC29" s="7" t="s">
        <v>41</v>
      </c>
      <c r="AD29" s="6" t="s">
        <v>42</v>
      </c>
      <c r="AE29" s="7" t="s">
        <v>43</v>
      </c>
      <c r="AF29" s="9">
        <f t="shared" si="0"/>
        <v>1.9794548000000001</v>
      </c>
      <c r="AG29" s="6" t="s">
        <v>177</v>
      </c>
    </row>
    <row r="30" spans="1:33" x14ac:dyDescent="0.2">
      <c r="A30" s="4">
        <v>6801</v>
      </c>
      <c r="B30" s="5" t="s">
        <v>132</v>
      </c>
      <c r="C30" s="8">
        <v>43396</v>
      </c>
      <c r="D30" s="6">
        <v>1</v>
      </c>
      <c r="E30" s="7" t="s">
        <v>34</v>
      </c>
      <c r="F30" s="7" t="s">
        <v>35</v>
      </c>
      <c r="G30" s="7" t="s">
        <v>35</v>
      </c>
      <c r="H30" s="7" t="s">
        <v>35</v>
      </c>
      <c r="I30" s="6" t="s">
        <v>139</v>
      </c>
      <c r="J30" s="7" t="s">
        <v>140</v>
      </c>
      <c r="K30" s="14" t="s">
        <v>45</v>
      </c>
      <c r="L30" s="6" t="str">
        <f>"000056"</f>
        <v>000056</v>
      </c>
      <c r="M30" s="8">
        <v>43180</v>
      </c>
      <c r="N30" s="6" t="str">
        <f>"000024"</f>
        <v>000024</v>
      </c>
      <c r="O30" s="8">
        <v>43225</v>
      </c>
      <c r="P30" s="6" t="str">
        <f>"000024"</f>
        <v>000024</v>
      </c>
      <c r="Q30" s="8">
        <v>43225</v>
      </c>
      <c r="R30" s="6">
        <v>18</v>
      </c>
      <c r="S30" s="6" t="str">
        <f>"006891"</f>
        <v>006891</v>
      </c>
      <c r="T30" s="8">
        <v>43393</v>
      </c>
      <c r="U30" s="9">
        <v>197.83955</v>
      </c>
      <c r="V30" s="9">
        <v>18.45844</v>
      </c>
      <c r="W30" s="9">
        <v>179.38111000000001</v>
      </c>
      <c r="X30" s="6">
        <v>246</v>
      </c>
      <c r="Y30" s="8">
        <v>43396</v>
      </c>
      <c r="Z30" s="6">
        <v>9449863064</v>
      </c>
      <c r="AA30" s="7" t="s">
        <v>98</v>
      </c>
      <c r="AB30" s="6" t="s">
        <v>40</v>
      </c>
      <c r="AC30" s="7" t="s">
        <v>41</v>
      </c>
      <c r="AD30" s="6" t="s">
        <v>42</v>
      </c>
      <c r="AE30" s="7" t="s">
        <v>43</v>
      </c>
      <c r="AF30" s="9">
        <f t="shared" si="0"/>
        <v>1.9783955</v>
      </c>
      <c r="AG30" s="6" t="s">
        <v>177</v>
      </c>
    </row>
    <row r="31" spans="1:33" x14ac:dyDescent="0.2">
      <c r="A31" s="4">
        <v>6802</v>
      </c>
      <c r="B31" s="5" t="s">
        <v>132</v>
      </c>
      <c r="C31" s="8">
        <v>43396</v>
      </c>
      <c r="D31" s="6">
        <v>1</v>
      </c>
      <c r="E31" s="7" t="s">
        <v>34</v>
      </c>
      <c r="F31" s="7" t="s">
        <v>35</v>
      </c>
      <c r="G31" s="7" t="s">
        <v>35</v>
      </c>
      <c r="H31" s="7" t="s">
        <v>35</v>
      </c>
      <c r="I31" s="6" t="s">
        <v>141</v>
      </c>
      <c r="J31" s="7" t="s">
        <v>142</v>
      </c>
      <c r="K31" s="14" t="s">
        <v>45</v>
      </c>
      <c r="L31" s="6" t="str">
        <f>"000057"</f>
        <v>000057</v>
      </c>
      <c r="M31" s="8">
        <v>43180</v>
      </c>
      <c r="N31" s="6" t="str">
        <f>"000016"</f>
        <v>000016</v>
      </c>
      <c r="O31" s="8">
        <v>43208</v>
      </c>
      <c r="P31" s="6" t="str">
        <f>"000016"</f>
        <v>000016</v>
      </c>
      <c r="Q31" s="8">
        <v>43208</v>
      </c>
      <c r="R31" s="6">
        <v>18</v>
      </c>
      <c r="S31" s="6" t="str">
        <f>"006893"</f>
        <v>006893</v>
      </c>
      <c r="T31" s="8">
        <v>43393</v>
      </c>
      <c r="U31" s="9">
        <v>98.76146</v>
      </c>
      <c r="V31" s="9">
        <v>9.2144399999999997</v>
      </c>
      <c r="W31" s="9">
        <v>89.547020000000003</v>
      </c>
      <c r="X31" s="6">
        <v>246</v>
      </c>
      <c r="Y31" s="8">
        <v>43396</v>
      </c>
      <c r="Z31" s="6">
        <v>9449863064</v>
      </c>
      <c r="AA31" s="7" t="s">
        <v>136</v>
      </c>
      <c r="AB31" s="6" t="s">
        <v>40</v>
      </c>
      <c r="AC31" s="7" t="s">
        <v>41</v>
      </c>
      <c r="AD31" s="6" t="s">
        <v>42</v>
      </c>
      <c r="AE31" s="7" t="s">
        <v>43</v>
      </c>
      <c r="AF31" s="9">
        <f t="shared" si="0"/>
        <v>0.98761460000000001</v>
      </c>
      <c r="AG31" s="6" t="s">
        <v>177</v>
      </c>
    </row>
    <row r="32" spans="1:33" x14ac:dyDescent="0.2">
      <c r="A32" s="4">
        <v>7450</v>
      </c>
      <c r="B32" s="5" t="s">
        <v>143</v>
      </c>
      <c r="C32" s="8">
        <v>43437</v>
      </c>
      <c r="D32" s="6">
        <v>1</v>
      </c>
      <c r="E32" s="7" t="s">
        <v>34</v>
      </c>
      <c r="F32" s="7" t="s">
        <v>35</v>
      </c>
      <c r="G32" s="7" t="s">
        <v>35</v>
      </c>
      <c r="H32" s="7" t="s">
        <v>35</v>
      </c>
      <c r="I32" s="6" t="s">
        <v>144</v>
      </c>
      <c r="J32" s="7" t="s">
        <v>167</v>
      </c>
      <c r="K32" s="14" t="s">
        <v>51</v>
      </c>
      <c r="L32" s="6" t="str">
        <f>"000029"</f>
        <v>000029</v>
      </c>
      <c r="M32" s="8">
        <v>42857</v>
      </c>
      <c r="N32" s="6" t="str">
        <f>"000031"</f>
        <v>000031</v>
      </c>
      <c r="O32" s="8">
        <v>42886</v>
      </c>
      <c r="P32" s="6" t="str">
        <f>"000043"</f>
        <v>000043</v>
      </c>
      <c r="Q32" s="8">
        <v>42886</v>
      </c>
      <c r="R32" s="6">
        <v>17</v>
      </c>
      <c r="S32" s="6" t="str">
        <f>"007445"</f>
        <v>007445</v>
      </c>
      <c r="T32" s="8">
        <v>43421</v>
      </c>
      <c r="U32" s="9">
        <v>5.6059400000000004</v>
      </c>
      <c r="V32" s="9">
        <v>0.37772</v>
      </c>
      <c r="W32" s="9">
        <v>5.2282200000000003</v>
      </c>
      <c r="X32" s="6">
        <v>279</v>
      </c>
      <c r="Y32" s="8">
        <v>43437</v>
      </c>
      <c r="Z32" s="6">
        <v>9900997067</v>
      </c>
      <c r="AA32" s="7" t="s">
        <v>145</v>
      </c>
      <c r="AB32" s="6" t="s">
        <v>73</v>
      </c>
      <c r="AC32" s="7" t="s">
        <v>74</v>
      </c>
      <c r="AD32" s="6" t="s">
        <v>58</v>
      </c>
      <c r="AE32" s="7" t="s">
        <v>59</v>
      </c>
      <c r="AF32" s="9">
        <f t="shared" si="0"/>
        <v>5.6059400000000002E-2</v>
      </c>
      <c r="AG32" s="6" t="s">
        <v>44</v>
      </c>
    </row>
    <row r="33" spans="1:33" x14ac:dyDescent="0.2">
      <c r="A33" s="4">
        <v>7451</v>
      </c>
      <c r="B33" s="5" t="s">
        <v>143</v>
      </c>
      <c r="C33" s="8">
        <v>43437</v>
      </c>
      <c r="D33" s="6">
        <v>1</v>
      </c>
      <c r="E33" s="7" t="s">
        <v>34</v>
      </c>
      <c r="F33" s="7" t="s">
        <v>35</v>
      </c>
      <c r="G33" s="7" t="s">
        <v>35</v>
      </c>
      <c r="H33" s="7" t="s">
        <v>35</v>
      </c>
      <c r="I33" s="6" t="s">
        <v>146</v>
      </c>
      <c r="J33" s="7" t="s">
        <v>169</v>
      </c>
      <c r="K33" s="14" t="s">
        <v>51</v>
      </c>
      <c r="L33" s="6" t="str">
        <f>"000027"</f>
        <v>000027</v>
      </c>
      <c r="M33" s="8">
        <v>42857</v>
      </c>
      <c r="N33" s="6" t="str">
        <f>"000032"</f>
        <v>000032</v>
      </c>
      <c r="O33" s="8">
        <v>42886</v>
      </c>
      <c r="P33" s="6" t="str">
        <f>"000044"</f>
        <v>000044</v>
      </c>
      <c r="Q33" s="8">
        <v>42886</v>
      </c>
      <c r="R33" s="6">
        <v>17</v>
      </c>
      <c r="S33" s="6" t="str">
        <f>"007446"</f>
        <v>007446</v>
      </c>
      <c r="T33" s="8">
        <v>43421</v>
      </c>
      <c r="U33" s="9">
        <v>7.4938500000000001</v>
      </c>
      <c r="V33" s="9">
        <v>0.52563000000000004</v>
      </c>
      <c r="W33" s="9">
        <v>6.9682199999999996</v>
      </c>
      <c r="X33" s="6">
        <v>279</v>
      </c>
      <c r="Y33" s="8">
        <v>43437</v>
      </c>
      <c r="Z33" s="6">
        <v>9900997067</v>
      </c>
      <c r="AA33" s="7" t="s">
        <v>145</v>
      </c>
      <c r="AB33" s="6" t="s">
        <v>73</v>
      </c>
      <c r="AC33" s="7" t="s">
        <v>74</v>
      </c>
      <c r="AD33" s="6" t="s">
        <v>58</v>
      </c>
      <c r="AE33" s="7" t="s">
        <v>59</v>
      </c>
      <c r="AF33" s="9">
        <f t="shared" si="0"/>
        <v>7.4938500000000005E-2</v>
      </c>
      <c r="AG33" s="6" t="s">
        <v>44</v>
      </c>
    </row>
    <row r="34" spans="1:33" x14ac:dyDescent="0.2">
      <c r="A34" s="4">
        <v>7452</v>
      </c>
      <c r="B34" s="5" t="s">
        <v>143</v>
      </c>
      <c r="C34" s="8">
        <v>43437</v>
      </c>
      <c r="D34" s="6">
        <v>1</v>
      </c>
      <c r="E34" s="7" t="s">
        <v>34</v>
      </c>
      <c r="F34" s="7" t="s">
        <v>35</v>
      </c>
      <c r="G34" s="7" t="s">
        <v>35</v>
      </c>
      <c r="H34" s="7" t="s">
        <v>35</v>
      </c>
      <c r="I34" s="6" t="s">
        <v>147</v>
      </c>
      <c r="J34" s="7" t="s">
        <v>170</v>
      </c>
      <c r="K34" s="14" t="s">
        <v>51</v>
      </c>
      <c r="L34" s="6" t="str">
        <f>"000026"</f>
        <v>000026</v>
      </c>
      <c r="M34" s="8">
        <v>42857</v>
      </c>
      <c r="N34" s="6" t="str">
        <f>"000024"</f>
        <v>000024</v>
      </c>
      <c r="O34" s="8">
        <v>42886</v>
      </c>
      <c r="P34" s="6" t="str">
        <f>"000048"</f>
        <v>000048</v>
      </c>
      <c r="Q34" s="8">
        <v>42886</v>
      </c>
      <c r="R34" s="6">
        <v>17</v>
      </c>
      <c r="S34" s="6" t="str">
        <f>"007447"</f>
        <v>007447</v>
      </c>
      <c r="T34" s="8">
        <v>43421</v>
      </c>
      <c r="U34" s="9">
        <v>9.2932199999999998</v>
      </c>
      <c r="V34" s="9">
        <v>0.65534000000000003</v>
      </c>
      <c r="W34" s="9">
        <v>8.6378799999999991</v>
      </c>
      <c r="X34" s="6">
        <v>279</v>
      </c>
      <c r="Y34" s="8">
        <v>43437</v>
      </c>
      <c r="Z34" s="6">
        <v>9886829361</v>
      </c>
      <c r="AA34" s="7" t="s">
        <v>148</v>
      </c>
      <c r="AB34" s="6" t="s">
        <v>73</v>
      </c>
      <c r="AC34" s="7" t="s">
        <v>74</v>
      </c>
      <c r="AD34" s="6" t="s">
        <v>58</v>
      </c>
      <c r="AE34" s="7" t="s">
        <v>59</v>
      </c>
      <c r="AF34" s="9">
        <f t="shared" si="0"/>
        <v>9.2932199999999993E-2</v>
      </c>
      <c r="AG34" s="6" t="s">
        <v>44</v>
      </c>
    </row>
    <row r="35" spans="1:33" x14ac:dyDescent="0.2">
      <c r="A35" s="4">
        <v>7453</v>
      </c>
      <c r="B35" s="5" t="s">
        <v>143</v>
      </c>
      <c r="C35" s="8">
        <v>43437</v>
      </c>
      <c r="D35" s="6">
        <v>1</v>
      </c>
      <c r="E35" s="7" t="s">
        <v>34</v>
      </c>
      <c r="F35" s="7" t="s">
        <v>35</v>
      </c>
      <c r="G35" s="7" t="s">
        <v>35</v>
      </c>
      <c r="H35" s="7" t="s">
        <v>35</v>
      </c>
      <c r="I35" s="6" t="s">
        <v>83</v>
      </c>
      <c r="J35" s="7" t="s">
        <v>84</v>
      </c>
      <c r="K35" s="15" t="s">
        <v>75</v>
      </c>
      <c r="L35" s="6" t="str">
        <f>"000015"</f>
        <v>000015</v>
      </c>
      <c r="M35" s="8">
        <v>42404</v>
      </c>
      <c r="N35" s="6" t="str">
        <f>"000044"</f>
        <v>000044</v>
      </c>
      <c r="O35" s="8">
        <v>42824</v>
      </c>
      <c r="P35" s="6" t="str">
        <f>"000044"</f>
        <v>000044</v>
      </c>
      <c r="Q35" s="8">
        <v>42824</v>
      </c>
      <c r="R35" s="6">
        <v>16</v>
      </c>
      <c r="S35" s="6" t="str">
        <f>"005060"</f>
        <v>005060</v>
      </c>
      <c r="T35" s="8">
        <v>43322</v>
      </c>
      <c r="U35" s="9">
        <v>43.516500000000001</v>
      </c>
      <c r="V35" s="9">
        <v>1.0444100000000001</v>
      </c>
      <c r="W35" s="9">
        <v>42.472090000000001</v>
      </c>
      <c r="X35" s="6">
        <v>280</v>
      </c>
      <c r="Y35" s="8">
        <v>43437</v>
      </c>
      <c r="Z35" s="6">
        <v>9845118582</v>
      </c>
      <c r="AA35" s="7" t="s">
        <v>85</v>
      </c>
      <c r="AB35" s="6" t="s">
        <v>47</v>
      </c>
      <c r="AC35" s="7" t="s">
        <v>48</v>
      </c>
      <c r="AD35" s="6" t="s">
        <v>42</v>
      </c>
      <c r="AE35" s="7" t="s">
        <v>43</v>
      </c>
      <c r="AF35" s="9">
        <f t="shared" si="0"/>
        <v>0.43516500000000002</v>
      </c>
      <c r="AG35" s="6" t="s">
        <v>44</v>
      </c>
    </row>
    <row r="36" spans="1:33" x14ac:dyDescent="0.2">
      <c r="A36" s="4">
        <v>7616</v>
      </c>
      <c r="B36" s="5" t="s">
        <v>143</v>
      </c>
      <c r="C36" s="8">
        <v>43438</v>
      </c>
      <c r="D36" s="6">
        <v>1</v>
      </c>
      <c r="E36" s="7" t="s">
        <v>34</v>
      </c>
      <c r="F36" s="7" t="s">
        <v>35</v>
      </c>
      <c r="G36" s="7" t="s">
        <v>35</v>
      </c>
      <c r="H36" s="7" t="s">
        <v>35</v>
      </c>
      <c r="I36" s="6" t="s">
        <v>149</v>
      </c>
      <c r="J36" s="7" t="s">
        <v>171</v>
      </c>
      <c r="K36" s="14" t="s">
        <v>86</v>
      </c>
      <c r="L36" s="6" t="str">
        <f>"000008"</f>
        <v>000008</v>
      </c>
      <c r="M36" s="8">
        <v>43272</v>
      </c>
      <c r="N36" s="6" t="str">
        <f>"000043"</f>
        <v>000043</v>
      </c>
      <c r="O36" s="8">
        <v>43369</v>
      </c>
      <c r="P36" s="6" t="str">
        <f>"000064"</f>
        <v>000064</v>
      </c>
      <c r="Q36" s="8">
        <v>43382</v>
      </c>
      <c r="R36" s="6">
        <v>18</v>
      </c>
      <c r="S36" s="6" t="str">
        <f>"007654"</f>
        <v>007654</v>
      </c>
      <c r="T36" s="8">
        <v>43434</v>
      </c>
      <c r="U36" s="9">
        <v>6.1508599999999998</v>
      </c>
      <c r="V36" s="9">
        <v>0.68274000000000001</v>
      </c>
      <c r="W36" s="9">
        <v>5.4681199999999999</v>
      </c>
      <c r="X36" s="6">
        <v>284</v>
      </c>
      <c r="Y36" s="8">
        <v>43438</v>
      </c>
      <c r="Z36" s="6">
        <v>9035609668</v>
      </c>
      <c r="AA36" s="7" t="s">
        <v>54</v>
      </c>
      <c r="AB36" s="6" t="s">
        <v>49</v>
      </c>
      <c r="AC36" s="7" t="s">
        <v>50</v>
      </c>
      <c r="AD36" s="6" t="s">
        <v>58</v>
      </c>
      <c r="AE36" s="7" t="s">
        <v>59</v>
      </c>
      <c r="AF36" s="9">
        <f t="shared" si="0"/>
        <v>6.1508599999999997E-2</v>
      </c>
      <c r="AG36" s="6" t="s">
        <v>78</v>
      </c>
    </row>
    <row r="37" spans="1:33" x14ac:dyDescent="0.2">
      <c r="A37" s="4">
        <v>7617</v>
      </c>
      <c r="B37" s="5" t="s">
        <v>143</v>
      </c>
      <c r="C37" s="8">
        <v>43438</v>
      </c>
      <c r="D37" s="6">
        <v>1</v>
      </c>
      <c r="E37" s="7" t="s">
        <v>34</v>
      </c>
      <c r="F37" s="7" t="s">
        <v>35</v>
      </c>
      <c r="G37" s="7" t="s">
        <v>35</v>
      </c>
      <c r="H37" s="7" t="s">
        <v>35</v>
      </c>
      <c r="I37" s="6" t="s">
        <v>150</v>
      </c>
      <c r="J37" s="7" t="s">
        <v>172</v>
      </c>
      <c r="K37" s="14" t="s">
        <v>45</v>
      </c>
      <c r="L37" s="6" t="str">
        <f>"000010"</f>
        <v>000010</v>
      </c>
      <c r="M37" s="8">
        <v>43274</v>
      </c>
      <c r="N37" s="6" t="str">
        <f>"000042"</f>
        <v>000042</v>
      </c>
      <c r="O37" s="8">
        <v>43369</v>
      </c>
      <c r="P37" s="6" t="str">
        <f>"000065"</f>
        <v>000065</v>
      </c>
      <c r="Q37" s="8">
        <v>43382</v>
      </c>
      <c r="R37" s="6">
        <v>18</v>
      </c>
      <c r="S37" s="6" t="str">
        <f>"007656"</f>
        <v>007656</v>
      </c>
      <c r="T37" s="8">
        <v>43434</v>
      </c>
      <c r="U37" s="9">
        <v>9.3975399999999993</v>
      </c>
      <c r="V37" s="9">
        <v>1.0148699999999999</v>
      </c>
      <c r="W37" s="9">
        <v>8.3826699999999992</v>
      </c>
      <c r="X37" s="6">
        <v>284</v>
      </c>
      <c r="Y37" s="8">
        <v>43438</v>
      </c>
      <c r="Z37" s="6">
        <v>9035609668</v>
      </c>
      <c r="AA37" s="7" t="s">
        <v>54</v>
      </c>
      <c r="AB37" s="6" t="s">
        <v>49</v>
      </c>
      <c r="AC37" s="7" t="s">
        <v>50</v>
      </c>
      <c r="AD37" s="6" t="s">
        <v>58</v>
      </c>
      <c r="AE37" s="7" t="s">
        <v>59</v>
      </c>
      <c r="AF37" s="9">
        <f t="shared" si="0"/>
        <v>9.3975399999999987E-2</v>
      </c>
      <c r="AG37" s="6" t="s">
        <v>78</v>
      </c>
    </row>
    <row r="38" spans="1:33" x14ac:dyDescent="0.2">
      <c r="A38" s="4">
        <v>7618</v>
      </c>
      <c r="B38" s="5" t="s">
        <v>143</v>
      </c>
      <c r="C38" s="8">
        <v>43438</v>
      </c>
      <c r="D38" s="6">
        <v>1</v>
      </c>
      <c r="E38" s="7" t="s">
        <v>34</v>
      </c>
      <c r="F38" s="7" t="s">
        <v>35</v>
      </c>
      <c r="G38" s="7" t="s">
        <v>35</v>
      </c>
      <c r="H38" s="7" t="s">
        <v>35</v>
      </c>
      <c r="I38" s="6" t="s">
        <v>151</v>
      </c>
      <c r="J38" s="7" t="s">
        <v>173</v>
      </c>
      <c r="K38" s="14" t="s">
        <v>46</v>
      </c>
      <c r="L38" s="6" t="str">
        <f>"000009"</f>
        <v>000009</v>
      </c>
      <c r="M38" s="8">
        <v>43272</v>
      </c>
      <c r="N38" s="6" t="str">
        <f>"000041"</f>
        <v>000041</v>
      </c>
      <c r="O38" s="8">
        <v>43369</v>
      </c>
      <c r="P38" s="6" t="str">
        <f>"000066"</f>
        <v>000066</v>
      </c>
      <c r="Q38" s="8">
        <v>43382</v>
      </c>
      <c r="R38" s="6">
        <v>18</v>
      </c>
      <c r="S38" s="6" t="str">
        <f>"007657"</f>
        <v>007657</v>
      </c>
      <c r="T38" s="8">
        <v>43434</v>
      </c>
      <c r="U38" s="9">
        <v>9.7335100000000008</v>
      </c>
      <c r="V38" s="9">
        <v>1.06873</v>
      </c>
      <c r="W38" s="9">
        <v>8.6647800000000004</v>
      </c>
      <c r="X38" s="6">
        <v>284</v>
      </c>
      <c r="Y38" s="8">
        <v>43438</v>
      </c>
      <c r="Z38" s="6">
        <v>9035609668</v>
      </c>
      <c r="AA38" s="7" t="s">
        <v>54</v>
      </c>
      <c r="AB38" s="6" t="s">
        <v>49</v>
      </c>
      <c r="AC38" s="7" t="s">
        <v>50</v>
      </c>
      <c r="AD38" s="6" t="s">
        <v>58</v>
      </c>
      <c r="AE38" s="7" t="s">
        <v>59</v>
      </c>
      <c r="AF38" s="9">
        <f t="shared" si="0"/>
        <v>9.7335100000000008E-2</v>
      </c>
      <c r="AG38" s="6" t="s">
        <v>78</v>
      </c>
    </row>
    <row r="39" spans="1:33" x14ac:dyDescent="0.2">
      <c r="A39" s="4">
        <v>8739</v>
      </c>
      <c r="B39" s="5" t="s">
        <v>152</v>
      </c>
      <c r="C39" s="8">
        <v>43486</v>
      </c>
      <c r="D39" s="6">
        <v>1</v>
      </c>
      <c r="E39" s="7" t="s">
        <v>34</v>
      </c>
      <c r="F39" s="7" t="s">
        <v>35</v>
      </c>
      <c r="G39" s="7" t="s">
        <v>35</v>
      </c>
      <c r="H39" s="7" t="s">
        <v>35</v>
      </c>
      <c r="I39" s="6" t="s">
        <v>153</v>
      </c>
      <c r="J39" s="7" t="s">
        <v>174</v>
      </c>
      <c r="K39" s="14" t="s">
        <v>46</v>
      </c>
      <c r="L39" s="6" t="str">
        <f>"000006"</f>
        <v>000006</v>
      </c>
      <c r="M39" s="8">
        <v>43424</v>
      </c>
      <c r="N39" s="6" t="str">
        <f>"000144"</f>
        <v>000144</v>
      </c>
      <c r="O39" s="8">
        <v>43475</v>
      </c>
      <c r="P39" s="6" t="str">
        <f>"000142"</f>
        <v>000142</v>
      </c>
      <c r="Q39" s="8">
        <v>43475</v>
      </c>
      <c r="R39" s="6"/>
      <c r="S39" s="6" t="str">
        <f>"009015"</f>
        <v>009015</v>
      </c>
      <c r="T39" s="8">
        <v>43490</v>
      </c>
      <c r="U39" s="9">
        <v>74.175880000000006</v>
      </c>
      <c r="V39" s="9">
        <v>3.0053000000000001</v>
      </c>
      <c r="W39" s="9">
        <v>71.170580000000001</v>
      </c>
      <c r="X39" s="6">
        <v>331</v>
      </c>
      <c r="Y39" s="8">
        <v>43486</v>
      </c>
      <c r="Z39" s="6">
        <v>9845449405</v>
      </c>
      <c r="AA39" s="7" t="s">
        <v>154</v>
      </c>
      <c r="AB39" s="6" t="s">
        <v>40</v>
      </c>
      <c r="AC39" s="7" t="s">
        <v>41</v>
      </c>
      <c r="AD39" s="6" t="s">
        <v>42</v>
      </c>
      <c r="AE39" s="7" t="s">
        <v>43</v>
      </c>
      <c r="AF39" s="9">
        <f t="shared" si="0"/>
        <v>0.74175880000000005</v>
      </c>
      <c r="AG39" s="6" t="s">
        <v>78</v>
      </c>
    </row>
    <row r="40" spans="1:33" x14ac:dyDescent="0.2">
      <c r="A40" s="4">
        <v>8778</v>
      </c>
      <c r="B40" s="5" t="s">
        <v>152</v>
      </c>
      <c r="C40" s="8">
        <v>43486</v>
      </c>
      <c r="D40" s="6">
        <v>1</v>
      </c>
      <c r="E40" s="7" t="s">
        <v>34</v>
      </c>
      <c r="F40" s="7" t="s">
        <v>35</v>
      </c>
      <c r="G40" s="7" t="s">
        <v>35</v>
      </c>
      <c r="H40" s="7" t="s">
        <v>35</v>
      </c>
      <c r="I40" s="6" t="s">
        <v>55</v>
      </c>
      <c r="J40" s="7" t="s">
        <v>56</v>
      </c>
      <c r="K40" s="14" t="s">
        <v>45</v>
      </c>
      <c r="L40" s="6" t="str">
        <f>"000110"</f>
        <v>000110</v>
      </c>
      <c r="M40" s="8">
        <v>43145</v>
      </c>
      <c r="N40" s="6" t="str">
        <f>"000014"</f>
        <v>000014</v>
      </c>
      <c r="O40" s="8">
        <v>43271</v>
      </c>
      <c r="P40" s="6" t="str">
        <f>"000025"</f>
        <v>000025</v>
      </c>
      <c r="Q40" s="8">
        <v>43279</v>
      </c>
      <c r="R40" s="6"/>
      <c r="S40" s="6" t="str">
        <f>"006222"</f>
        <v>006222</v>
      </c>
      <c r="T40" s="8">
        <v>43379</v>
      </c>
      <c r="U40" s="9">
        <v>6</v>
      </c>
      <c r="V40" s="9">
        <v>0.66600000000000004</v>
      </c>
      <c r="W40" s="9">
        <v>5.3339999999999996</v>
      </c>
      <c r="X40" s="6">
        <v>331</v>
      </c>
      <c r="Y40" s="8">
        <v>43486</v>
      </c>
      <c r="Z40" s="6">
        <v>9448353883</v>
      </c>
      <c r="AA40" s="7" t="s">
        <v>155</v>
      </c>
      <c r="AB40" s="6" t="s">
        <v>40</v>
      </c>
      <c r="AC40" s="7" t="s">
        <v>41</v>
      </c>
      <c r="AD40" s="6" t="s">
        <v>58</v>
      </c>
      <c r="AE40" s="7" t="s">
        <v>59</v>
      </c>
      <c r="AF40" s="9">
        <f t="shared" si="0"/>
        <v>0.06</v>
      </c>
      <c r="AG40" s="6" t="s">
        <v>177</v>
      </c>
    </row>
    <row r="41" spans="1:33" x14ac:dyDescent="0.2">
      <c r="A41" s="4">
        <v>8829</v>
      </c>
      <c r="B41" s="5" t="s">
        <v>152</v>
      </c>
      <c r="C41" s="8">
        <v>43494</v>
      </c>
      <c r="D41" s="6">
        <v>1</v>
      </c>
      <c r="E41" s="7" t="s">
        <v>34</v>
      </c>
      <c r="F41" s="7" t="s">
        <v>35</v>
      </c>
      <c r="G41" s="7" t="s">
        <v>35</v>
      </c>
      <c r="H41" s="7" t="s">
        <v>35</v>
      </c>
      <c r="I41" s="6" t="s">
        <v>153</v>
      </c>
      <c r="J41" s="7" t="s">
        <v>174</v>
      </c>
      <c r="K41" s="14" t="s">
        <v>46</v>
      </c>
      <c r="L41" s="6" t="str">
        <f>"000006"</f>
        <v>000006</v>
      </c>
      <c r="M41" s="8">
        <v>43424</v>
      </c>
      <c r="N41" s="6" t="str">
        <f>"000144"</f>
        <v>000144</v>
      </c>
      <c r="O41" s="8">
        <v>43475</v>
      </c>
      <c r="P41" s="6" t="str">
        <f>"000142"</f>
        <v>000142</v>
      </c>
      <c r="Q41" s="8">
        <v>43475</v>
      </c>
      <c r="R41" s="6"/>
      <c r="S41" s="6" t="str">
        <f>"009015"</f>
        <v>009015</v>
      </c>
      <c r="T41" s="8">
        <v>43490</v>
      </c>
      <c r="U41" s="9">
        <v>85.374750000000006</v>
      </c>
      <c r="V41" s="9">
        <v>3.3174100000000002</v>
      </c>
      <c r="W41" s="9">
        <v>82.057339999999996</v>
      </c>
      <c r="X41" s="6">
        <v>335</v>
      </c>
      <c r="Y41" s="8">
        <v>43494</v>
      </c>
      <c r="Z41" s="6">
        <v>9845449405</v>
      </c>
      <c r="AA41" s="7" t="s">
        <v>154</v>
      </c>
      <c r="AB41" s="6" t="s">
        <v>40</v>
      </c>
      <c r="AC41" s="7" t="s">
        <v>41</v>
      </c>
      <c r="AD41" s="6" t="s">
        <v>42</v>
      </c>
      <c r="AE41" s="7" t="s">
        <v>43</v>
      </c>
      <c r="AF41" s="9">
        <f t="shared" si="0"/>
        <v>0.8537475000000001</v>
      </c>
      <c r="AG41" s="6" t="s">
        <v>78</v>
      </c>
    </row>
    <row r="42" spans="1:33" x14ac:dyDescent="0.2">
      <c r="A42" s="4">
        <v>9299</v>
      </c>
      <c r="B42" s="5" t="s">
        <v>165</v>
      </c>
      <c r="C42" s="8">
        <v>43521</v>
      </c>
      <c r="D42" s="6">
        <v>1</v>
      </c>
      <c r="E42" s="7" t="s">
        <v>34</v>
      </c>
      <c r="F42" s="7" t="s">
        <v>35</v>
      </c>
      <c r="G42" s="7" t="s">
        <v>35</v>
      </c>
      <c r="H42" s="7" t="s">
        <v>35</v>
      </c>
      <c r="I42" s="6" t="s">
        <v>124</v>
      </c>
      <c r="J42" s="7" t="s">
        <v>125</v>
      </c>
      <c r="K42" s="15" t="s">
        <v>75</v>
      </c>
      <c r="L42" s="6" t="str">
        <f>"000012"</f>
        <v>000012</v>
      </c>
      <c r="M42" s="8">
        <v>42404</v>
      </c>
      <c r="N42" s="6" t="str">
        <f>"000045"</f>
        <v>000045</v>
      </c>
      <c r="O42" s="8">
        <v>42824</v>
      </c>
      <c r="P42" s="6" t="str">
        <f>"000045"</f>
        <v>000045</v>
      </c>
      <c r="Q42" s="8">
        <v>42824</v>
      </c>
      <c r="R42" s="6"/>
      <c r="S42" s="6" t="str">
        <f>"005061"</f>
        <v>005061</v>
      </c>
      <c r="T42" s="8">
        <v>43322</v>
      </c>
      <c r="U42" s="9">
        <v>122.85352</v>
      </c>
      <c r="V42" s="9">
        <v>8.1047999999999991</v>
      </c>
      <c r="W42" s="9">
        <v>114.74872000000001</v>
      </c>
      <c r="X42" s="6">
        <v>359</v>
      </c>
      <c r="Y42" s="8">
        <v>43521</v>
      </c>
      <c r="Z42" s="6">
        <v>9448429329</v>
      </c>
      <c r="AA42" s="7" t="s">
        <v>162</v>
      </c>
      <c r="AB42" s="6" t="s">
        <v>47</v>
      </c>
      <c r="AC42" s="7" t="s">
        <v>48</v>
      </c>
      <c r="AD42" s="6" t="s">
        <v>42</v>
      </c>
      <c r="AE42" s="7" t="s">
        <v>43</v>
      </c>
      <c r="AF42" s="9">
        <f t="shared" si="0"/>
        <v>1.2285352</v>
      </c>
      <c r="AG42" s="6" t="s">
        <v>44</v>
      </c>
    </row>
    <row r="43" spans="1:33" x14ac:dyDescent="0.2">
      <c r="A43" s="4">
        <v>9546</v>
      </c>
      <c r="B43" s="5" t="s">
        <v>166</v>
      </c>
      <c r="C43" s="8">
        <v>43531</v>
      </c>
      <c r="D43" s="6">
        <v>1</v>
      </c>
      <c r="E43" s="7" t="s">
        <v>34</v>
      </c>
      <c r="F43" s="7" t="s">
        <v>35</v>
      </c>
      <c r="G43" s="7" t="s">
        <v>35</v>
      </c>
      <c r="H43" s="7" t="s">
        <v>35</v>
      </c>
      <c r="I43" s="6" t="s">
        <v>156</v>
      </c>
      <c r="J43" s="7" t="s">
        <v>175</v>
      </c>
      <c r="K43" s="14" t="s">
        <v>51</v>
      </c>
      <c r="L43" s="6" t="str">
        <f>"000036"</f>
        <v>000036</v>
      </c>
      <c r="M43" s="8">
        <v>42857</v>
      </c>
      <c r="N43" s="6" t="str">
        <f>"000053"</f>
        <v>000053</v>
      </c>
      <c r="O43" s="8">
        <v>42913</v>
      </c>
      <c r="P43" s="6" t="str">
        <f>"000090"</f>
        <v>000090</v>
      </c>
      <c r="Q43" s="8">
        <v>42916</v>
      </c>
      <c r="R43" s="6"/>
      <c r="S43" s="6" t="str">
        <f>"009561"</f>
        <v>009561</v>
      </c>
      <c r="T43" s="8">
        <v>43526</v>
      </c>
      <c r="U43" s="9">
        <v>9.7453000000000003</v>
      </c>
      <c r="V43" s="9">
        <v>0.66002000000000005</v>
      </c>
      <c r="W43" s="9">
        <v>9.0852799999999991</v>
      </c>
      <c r="X43" s="6">
        <v>370</v>
      </c>
      <c r="Y43" s="8">
        <v>43531</v>
      </c>
      <c r="Z43" s="6">
        <v>9916456999</v>
      </c>
      <c r="AA43" s="7" t="s">
        <v>163</v>
      </c>
      <c r="AB43" s="6" t="s">
        <v>73</v>
      </c>
      <c r="AC43" s="7" t="s">
        <v>74</v>
      </c>
      <c r="AD43" s="6" t="s">
        <v>58</v>
      </c>
      <c r="AE43" s="7" t="s">
        <v>59</v>
      </c>
      <c r="AF43" s="9">
        <f t="shared" si="0"/>
        <v>9.7452999999999998E-2</v>
      </c>
      <c r="AG43" s="6" t="s">
        <v>44</v>
      </c>
    </row>
    <row r="44" spans="1:33" x14ac:dyDescent="0.2">
      <c r="A44" s="4">
        <v>9547</v>
      </c>
      <c r="B44" s="5" t="s">
        <v>166</v>
      </c>
      <c r="C44" s="8">
        <v>43531</v>
      </c>
      <c r="D44" s="6">
        <v>1</v>
      </c>
      <c r="E44" s="7" t="s">
        <v>34</v>
      </c>
      <c r="F44" s="7" t="s">
        <v>35</v>
      </c>
      <c r="G44" s="7" t="s">
        <v>35</v>
      </c>
      <c r="H44" s="7" t="s">
        <v>35</v>
      </c>
      <c r="I44" s="6" t="s">
        <v>157</v>
      </c>
      <c r="J44" s="7" t="s">
        <v>160</v>
      </c>
      <c r="K44" s="14" t="s">
        <v>51</v>
      </c>
      <c r="L44" s="6" t="str">
        <f>"000035"</f>
        <v>000035</v>
      </c>
      <c r="M44" s="8">
        <v>42857</v>
      </c>
      <c r="N44" s="6" t="str">
        <f>"000052"</f>
        <v>000052</v>
      </c>
      <c r="O44" s="8">
        <v>42913</v>
      </c>
      <c r="P44" s="6" t="str">
        <f>"000091"</f>
        <v>000091</v>
      </c>
      <c r="Q44" s="8">
        <v>42916</v>
      </c>
      <c r="R44" s="6"/>
      <c r="S44" s="6" t="str">
        <f>"009562"</f>
        <v>009562</v>
      </c>
      <c r="T44" s="8">
        <v>43526</v>
      </c>
      <c r="U44" s="9">
        <v>9.4351900000000004</v>
      </c>
      <c r="V44" s="9">
        <v>0.66402000000000005</v>
      </c>
      <c r="W44" s="9">
        <v>8.7711699999999997</v>
      </c>
      <c r="X44" s="6">
        <v>370</v>
      </c>
      <c r="Y44" s="8">
        <v>43531</v>
      </c>
      <c r="Z44" s="6">
        <v>9916456999</v>
      </c>
      <c r="AA44" s="7" t="s">
        <v>163</v>
      </c>
      <c r="AB44" s="6" t="s">
        <v>73</v>
      </c>
      <c r="AC44" s="7" t="s">
        <v>74</v>
      </c>
      <c r="AD44" s="6" t="s">
        <v>58</v>
      </c>
      <c r="AE44" s="7" t="s">
        <v>59</v>
      </c>
      <c r="AF44" s="9">
        <f t="shared" si="0"/>
        <v>9.4351900000000002E-2</v>
      </c>
      <c r="AG44" s="6" t="s">
        <v>44</v>
      </c>
    </row>
    <row r="45" spans="1:33" x14ac:dyDescent="0.2">
      <c r="A45" s="4">
        <v>9548</v>
      </c>
      <c r="B45" s="5" t="s">
        <v>166</v>
      </c>
      <c r="C45" s="8">
        <v>43531</v>
      </c>
      <c r="D45" s="6">
        <v>1</v>
      </c>
      <c r="E45" s="7" t="s">
        <v>34</v>
      </c>
      <c r="F45" s="7" t="s">
        <v>35</v>
      </c>
      <c r="G45" s="7" t="s">
        <v>35</v>
      </c>
      <c r="H45" s="7" t="s">
        <v>35</v>
      </c>
      <c r="I45" s="6" t="s">
        <v>158</v>
      </c>
      <c r="J45" s="7" t="s">
        <v>161</v>
      </c>
      <c r="K45" s="14" t="s">
        <v>45</v>
      </c>
      <c r="L45" s="6" t="str">
        <f>"000028"</f>
        <v>000028</v>
      </c>
      <c r="M45" s="8">
        <v>42857</v>
      </c>
      <c r="N45" s="6" t="str">
        <f>"000054"</f>
        <v>000054</v>
      </c>
      <c r="O45" s="8">
        <v>42913</v>
      </c>
      <c r="P45" s="6" t="str">
        <f>"000093"</f>
        <v>000093</v>
      </c>
      <c r="Q45" s="8">
        <v>42916</v>
      </c>
      <c r="R45" s="6"/>
      <c r="S45" s="6" t="str">
        <f>"009563"</f>
        <v>009563</v>
      </c>
      <c r="T45" s="8">
        <v>43526</v>
      </c>
      <c r="U45" s="9">
        <v>8.4915699999999994</v>
      </c>
      <c r="V45" s="9">
        <v>0.69037999999999999</v>
      </c>
      <c r="W45" s="9">
        <v>7.8011900000000001</v>
      </c>
      <c r="X45" s="6">
        <v>370</v>
      </c>
      <c r="Y45" s="8">
        <v>43531</v>
      </c>
      <c r="Z45" s="6">
        <v>9845404793</v>
      </c>
      <c r="AA45" s="7" t="s">
        <v>164</v>
      </c>
      <c r="AB45" s="6" t="s">
        <v>73</v>
      </c>
      <c r="AC45" s="7" t="s">
        <v>74</v>
      </c>
      <c r="AD45" s="6" t="s">
        <v>58</v>
      </c>
      <c r="AE45" s="7" t="s">
        <v>59</v>
      </c>
      <c r="AF45" s="9">
        <f t="shared" si="0"/>
        <v>8.4915699999999997E-2</v>
      </c>
      <c r="AG45" s="6" t="s">
        <v>44</v>
      </c>
    </row>
    <row r="46" spans="1:33" x14ac:dyDescent="0.2">
      <c r="A46" s="4">
        <v>9652</v>
      </c>
      <c r="B46" s="5" t="s">
        <v>166</v>
      </c>
      <c r="C46" s="8">
        <v>43539</v>
      </c>
      <c r="D46" s="6">
        <v>1</v>
      </c>
      <c r="E46" s="7" t="s">
        <v>34</v>
      </c>
      <c r="F46" s="7" t="s">
        <v>35</v>
      </c>
      <c r="G46" s="7" t="s">
        <v>35</v>
      </c>
      <c r="H46" s="7" t="s">
        <v>35</v>
      </c>
      <c r="I46" s="6" t="s">
        <v>159</v>
      </c>
      <c r="J46" s="7" t="s">
        <v>176</v>
      </c>
      <c r="K46" s="14" t="s">
        <v>51</v>
      </c>
      <c r="L46" s="6" t="str">
        <f>"000056"</f>
        <v>000056</v>
      </c>
      <c r="M46" s="8">
        <v>42885</v>
      </c>
      <c r="N46" s="6" t="str">
        <f>"000046"</f>
        <v>000046</v>
      </c>
      <c r="O46" s="8">
        <v>42913</v>
      </c>
      <c r="P46" s="6" t="str">
        <f>"000083"</f>
        <v>000083</v>
      </c>
      <c r="Q46" s="8">
        <v>42916</v>
      </c>
      <c r="R46" s="6"/>
      <c r="S46" s="6" t="str">
        <f>"009697"</f>
        <v>009697</v>
      </c>
      <c r="T46" s="8">
        <v>43537</v>
      </c>
      <c r="U46" s="9">
        <v>18.45158</v>
      </c>
      <c r="V46" s="9">
        <v>1.28992</v>
      </c>
      <c r="W46" s="9">
        <v>17.161660000000001</v>
      </c>
      <c r="X46" s="6">
        <v>376</v>
      </c>
      <c r="Y46" s="8">
        <v>43539</v>
      </c>
      <c r="Z46" s="6">
        <v>7795567429</v>
      </c>
      <c r="AA46" s="7" t="s">
        <v>72</v>
      </c>
      <c r="AB46" s="6" t="s">
        <v>73</v>
      </c>
      <c r="AC46" s="7" t="s">
        <v>74</v>
      </c>
      <c r="AD46" s="6" t="s">
        <v>58</v>
      </c>
      <c r="AE46" s="7" t="s">
        <v>59</v>
      </c>
      <c r="AF46" s="9">
        <f t="shared" si="0"/>
        <v>0.18451580000000001</v>
      </c>
      <c r="AG46" s="6" t="s">
        <v>44</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2019-06-12T10:49:02Z</dcterms:modified>
</cp:coreProperties>
</file>