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0" i="1" l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<sst xmlns="http://schemas.openxmlformats.org/spreadsheetml/2006/main" count="579" uniqueCount="182">
  <si>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</si>
  <si>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</si>
  <si>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</si>
  <si>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</si>
  <si>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</si>
  <si>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</si>
  <si>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</si>
  <si>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</si>
  <si>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</si>
  <si>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</si>
  <si>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</si>
  <si>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</si>
  <si>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</si>
  <si>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</si>
  <si>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</si>
  <si>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</si>
  <si>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</si>
  <si>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</si>
  <si>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</si>
  <si>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</si>
  <si>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</si>
  <si>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</si>
  <si>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</si>
  <si>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</si>
  <si>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</si>
  <si>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</si>
  <si>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</si>
  <si>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</si>
  <si>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</si>
  <si>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</si>
  <si>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</si>
  <si>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</si>
  <si>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</si>
  <si>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</si>
  <si>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Dodda Bommasandra</t>
  </si>
  <si>
    <t>Vidyaranya Pura</t>
  </si>
  <si>
    <t>Byatarayana Pura</t>
  </si>
  <si>
    <t>Yelahanka</t>
  </si>
  <si>
    <t>010-16-000027</t>
  </si>
  <si>
    <t>Construction of RCC Drain in Raja beedi and Medical Ramesh House Road in Ward No 10 Doddabommasandra Vidyaranyapura Sub Division</t>
  </si>
  <si>
    <t>Footpaths &amp; Walkability</t>
  </si>
  <si>
    <t>Kariyallappa Betageri</t>
  </si>
  <si>
    <t>P1771</t>
  </si>
  <si>
    <t>Zone Works - POW Works</t>
  </si>
  <si>
    <t>ddo476</t>
  </si>
  <si>
    <t xml:space="preserve"> Assistant Executive Engineer Vidyaranyapura Yelhanka Zone</t>
  </si>
  <si>
    <t>Pending</t>
  </si>
  <si>
    <t>010-16-000013</t>
  </si>
  <si>
    <t>Improvements to roads and Drains of Somanna Matta road in Chamundeswari Layout in ward no 10 Doddabommasandra Vidyaranyapura Sub Division</t>
  </si>
  <si>
    <t>Roads &amp; Drivablility</t>
  </si>
  <si>
    <t>N M Shivakumar</t>
  </si>
  <si>
    <t>010-18-000008</t>
  </si>
  <si>
    <t>IMPROVEMENTS TO ROADS AND DRAINS AT KATERAMMA TEMPLE SURROUNDINGS AREA VEMANNA LAYOUT IN WARD NO 10 DODDABOMMASANDRA</t>
  </si>
  <si>
    <t>Executive Engineer, KRIDL</t>
  </si>
  <si>
    <t>P1878</t>
  </si>
  <si>
    <t>18per - Works (Bhagyajyothi, Sooru / Neeru Yojane and General) (54 Lakhs / New Wards)</t>
  </si>
  <si>
    <t>010-18-000005</t>
  </si>
  <si>
    <t>IMPROVEMENTS TO ROADS AND DRAINS AT MAIN ROAD 4th 5th AND 6th CROSS ROADS AND SURROUNDING AREA IN AK COLONY DODDABOMMASANDRA IN WARD NO 10</t>
  </si>
  <si>
    <t>010-18-000007</t>
  </si>
  <si>
    <t>IMPROVEMENTS TO ROADS AND DRIANS AT A K COLONY YELUMANDAMMA BADAVANE KNV 1st STAGE AND 2nd STAGE IN WARD NO 10 DODDABOMMASANDRA</t>
  </si>
  <si>
    <t>May</t>
  </si>
  <si>
    <t>010-16-000005</t>
  </si>
  <si>
    <t>Providing CC Roads at Basavanna temple Surroundings Doddabommasandra Old Village in ward no 10 Vidyaranyapura Sub Division</t>
  </si>
  <si>
    <t>K V Subbareddy</t>
  </si>
  <si>
    <t>P3089</t>
  </si>
  <si>
    <t>Special Development works in 7 CMC and 1 TMC area in BBMP</t>
  </si>
  <si>
    <t>010-16-000021</t>
  </si>
  <si>
    <t>Improvements to Road Drains and Covering Slabs at SMBG House at Chamundeshwari Layout in Ward No 10 Doddabommasandra Vidyaranyapura Sub Division</t>
  </si>
  <si>
    <t>Aswathnarayana</t>
  </si>
  <si>
    <t>010-16-000004</t>
  </si>
  <si>
    <t>Improvements to Roads and Drains at 3rd 4th and 5th Main Road Chamundeshwari Layout in ward no 10 Vidyaranyapura Sub Division</t>
  </si>
  <si>
    <t>K Anil Kumar</t>
  </si>
  <si>
    <t>June</t>
  </si>
  <si>
    <t>010-18-000006</t>
  </si>
  <si>
    <t>IMPROVEMENTS TO ROADS AND DRAINS AT MAIN ROADS AND 1st TO 6th CROSS ROADS AT BYRAPPA GARDEN IN WARD NO 10 DODDABOMMASANDRA</t>
  </si>
  <si>
    <t>Spill Over</t>
  </si>
  <si>
    <t>July</t>
  </si>
  <si>
    <t>010-17-000003</t>
  </si>
  <si>
    <t>Improvements to roads and drains at 1st A main Nanjappa layout in ward no 10</t>
  </si>
  <si>
    <t>M/S KRIDL</t>
  </si>
  <si>
    <t>P0190</t>
  </si>
  <si>
    <t>Works sanctioned by Hon Mayor</t>
  </si>
  <si>
    <t>010-17-000002</t>
  </si>
  <si>
    <t>Improvements to roads and drains at 1st main and 4th cross Nanjappa layout in ward no 10</t>
  </si>
  <si>
    <t>010-17-000001</t>
  </si>
  <si>
    <t>Improvements to roads and drains at Gangamma gudi area in ward 10</t>
  </si>
  <si>
    <t>010-16-000003</t>
  </si>
  <si>
    <t>Improvements to Roads and Drains near Apoorva Appartments and Surroundings Roads ward no 10 Vidyaranyapura Sub Division</t>
  </si>
  <si>
    <t>N.M.Shivakumar</t>
  </si>
  <si>
    <t>010-16-000015</t>
  </si>
  <si>
    <t>Excavation of Temporary Immersion Tank for Lord Ganesh Idols at Doddabommasandra Lake in Ward No 10 Doddabommasandra Vidyaranyapura Sub Division</t>
  </si>
  <si>
    <t>Lakes</t>
  </si>
  <si>
    <t>R S Thyagaraju</t>
  </si>
  <si>
    <t>010-16-000009</t>
  </si>
  <si>
    <t>Operation and maintenance of Street lights in Doddabommasandra Ward W No 10 Package Y 10</t>
  </si>
  <si>
    <t>Mohan KS prof of M/s Vijayalakshmi Associates</t>
  </si>
  <si>
    <t>P0300</t>
  </si>
  <si>
    <t>M and R to Street Lights - Replacement of Burnt Bulbs etc. (Package)</t>
  </si>
  <si>
    <t>ddo617</t>
  </si>
  <si>
    <t xml:space="preserve"> Executive Engineer Electrical Yelhanka Zone</t>
  </si>
  <si>
    <t>010-17-000004</t>
  </si>
  <si>
    <t>Improvements to roads at Raja beedi and Dodda bommasandra in ward no 10</t>
  </si>
  <si>
    <t>August</t>
  </si>
  <si>
    <t>010-15-000093</t>
  </si>
  <si>
    <t>Desilting of storm water drains inward no 10 (Doddabommasandra) Vidyaranyapura sub division</t>
  </si>
  <si>
    <t>P2200</t>
  </si>
  <si>
    <t>Works to be taken up under 13th Finance Commission</t>
  </si>
  <si>
    <t>010-16-000007</t>
  </si>
  <si>
    <t>Improvements to Roads and Drains at Hanuman Layout and Ramachandrapura in ward no 10 Vidyaranyapura Sub Division</t>
  </si>
  <si>
    <t>K. Shankarreddy</t>
  </si>
  <si>
    <t>010-17-000020</t>
  </si>
  <si>
    <t>Filling of Pot Holes in Ward No 10 Doddabommasandra Vidyaranyapura Sub Division</t>
  </si>
  <si>
    <t>September</t>
  </si>
  <si>
    <t>010-17-000033</t>
  </si>
  <si>
    <t>Providing and fixing of LED Street lights in Ward No 10 in Byatarayanpura Division</t>
  </si>
  <si>
    <t>M/s Sri Lakshmivaradaraja Electrical stores</t>
  </si>
  <si>
    <t>P3110</t>
  </si>
  <si>
    <t>14th Finance Commission Grant Works</t>
  </si>
  <si>
    <t>010-17-000030</t>
  </si>
  <si>
    <t>Supply of Water Through tanker in Ward No 10 Doddabommasandra Vidyaranyapura Sub Division</t>
  </si>
  <si>
    <t>Other Ward Works</t>
  </si>
  <si>
    <t>S. Vinod kumar</t>
  </si>
  <si>
    <t>P1802</t>
  </si>
  <si>
    <t>Water Supply New Areas</t>
  </si>
  <si>
    <t>October</t>
  </si>
  <si>
    <t>010-16-000002</t>
  </si>
  <si>
    <t>Improvements to Roads and Drains at BEL 2nd Block in ward no 10 Vidyaranyapura Sub Division</t>
  </si>
  <si>
    <t>K. Anil kumar</t>
  </si>
  <si>
    <t>010-17-000005</t>
  </si>
  <si>
    <t>Widening of Doddabommasandra main road in ward no 10</t>
  </si>
  <si>
    <t>M/s.Prashanth Road Infra Projects and Development Pvt Ltd.,</t>
  </si>
  <si>
    <t>P3158</t>
  </si>
  <si>
    <t>SIP Infrastructure Project works</t>
  </si>
  <si>
    <t>ddo235</t>
  </si>
  <si>
    <t xml:space="preserve"> Assistant Executive Engineer Project-1 Yelahanka Zone</t>
  </si>
  <si>
    <t>010-18-000050</t>
  </si>
  <si>
    <t>PACKAGE NO:04 (PACKAGE CONSISTS OF 28 WORKS)</t>
  </si>
  <si>
    <t>M/s Ram and Company (Sri C R GIRSH)</t>
  </si>
  <si>
    <t>010-17-000026</t>
  </si>
  <si>
    <t>Removal of Debris and Berm Cutting in Nanajappa Layout and Chamundeshwari Layout in Ward No 10 Doddabommasandra Vidyaranyapura Sub Division</t>
  </si>
  <si>
    <t>Munireddy C (S.S.P. Enterrises)</t>
  </si>
  <si>
    <t>November</t>
  </si>
  <si>
    <t>010-15-000035</t>
  </si>
  <si>
    <t>Development of Doddabommasandra Lake Phase 2 in Bangalore-Preperation of DPR for the work of Phase-2</t>
  </si>
  <si>
    <t>Balakrishna Arun kumar</t>
  </si>
  <si>
    <t>P3081</t>
  </si>
  <si>
    <t>Improvements to Doddabommasandra kere</t>
  </si>
  <si>
    <t>ddo611</t>
  </si>
  <si>
    <t xml:space="preserve"> Executive Engineer 1 - Projects 2 Central Zone</t>
  </si>
  <si>
    <t>December</t>
  </si>
  <si>
    <t>010-17-000017</t>
  </si>
  <si>
    <t>Improvements to Roads and Drains at 1st A Main Nanjappa Layout in Ward No 10 Doddabommasandra Vidyaranyapura Sub Division</t>
  </si>
  <si>
    <t>Sharath</t>
  </si>
  <si>
    <t>010-17-000022</t>
  </si>
  <si>
    <t>Improvements to Roads and Drains at 1st Main Nanjappa Layout in Ward No 10 Doddabommasandra Vidyaranyapura Sub Division</t>
  </si>
  <si>
    <t>N. Lokanathareddy</t>
  </si>
  <si>
    <t>010-16-000023</t>
  </si>
  <si>
    <t>Maintenance of Ward and Emergency Works in Ward No 10 Doddabommasandra Vidyaranyapura Sub Division</t>
  </si>
  <si>
    <t>Gowdappa Murthy</t>
  </si>
  <si>
    <t>010-17-000023</t>
  </si>
  <si>
    <t>Improvements to Roads and Drains at 9th Cross Nanjappa Layout in Ward No 10 Doddabommasandra Vidyaranyapura Sub Division</t>
  </si>
  <si>
    <t>Tulasi ram reddy</t>
  </si>
  <si>
    <t>February</t>
  </si>
  <si>
    <t>010-16-000030</t>
  </si>
  <si>
    <t>Supply of Water Through tanker in ward no 10 Doddabommasandra Vidyaranyapura Sub Division</t>
  </si>
  <si>
    <t>Water &amp; Sanitary</t>
  </si>
  <si>
    <t>K.V.subbareddy</t>
  </si>
  <si>
    <t>010-16-000001</t>
  </si>
  <si>
    <t>Improvements to Balance Roads and Drains in ward no 10 Vidyaranyapura Sub Division</t>
  </si>
  <si>
    <t>Venkategowda</t>
  </si>
  <si>
    <t>M/s. Alcon Consulting Engineers (India) priviate limited</t>
  </si>
  <si>
    <t>March</t>
  </si>
  <si>
    <t>010-17-000016</t>
  </si>
  <si>
    <t>Improvements to Roads and Drains at 5th Cross Nanjappa Layout in Ward No 10 Doddabommasandra Vidyaranyapura Sub Division</t>
  </si>
  <si>
    <t>010-17-000018</t>
  </si>
  <si>
    <t>Improvements to Roads and Drains at 10th Cross Nanjappa Layout in Ward No 10 Doddabommasandra Vidyaranyapura Sub Division</t>
  </si>
  <si>
    <t>010-17-000024</t>
  </si>
  <si>
    <t>Construction of Culverts in Ward No 10 Doddabommasandra Vidyaranyapura Sub Division</t>
  </si>
  <si>
    <t>010-17-000015</t>
  </si>
  <si>
    <t>Improvements to Roads and Drains at 11th and 12th Cross Nanjappa Layout in Ward No 10 Doddabommasandra Vidyaranyapura Sub Division</t>
  </si>
  <si>
    <t>010-17-000012</t>
  </si>
  <si>
    <t>Improvements to Roads and Drains at 2nd Main L S C Ramaiah Layout in Ward No 10 Doddabommasandra Vidyaranyapura Sub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</si>
</sst>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pane ySplit="1" topLeftCell="A2" activePane="bottomLeft" state="frozen"/>
      <selection activeCell="H1" sqref="H1"/>
      <selection pane="bottomLeft" activeCell="D8" sqref="D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329</v>
      </c>
      <c r="B2" s="9" t="s">
        <v>33</v>
      </c>
      <c r="C2" s="10">
        <v>43200</v>
      </c>
      <c r="D2" s="11">
        <v>10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"000043"</f>
        <v>000043</v>
      </c>
      <c r="M2" s="10">
        <v>42517</v>
      </c>
      <c r="N2" s="11" t="str">
        <f>"000082"</f>
        <v>000082</v>
      </c>
      <c r="O2" s="10">
        <v>42579</v>
      </c>
      <c r="P2" s="11" t="str">
        <f>"000305"</f>
        <v>000305</v>
      </c>
      <c r="Q2" s="10">
        <v>42579</v>
      </c>
      <c r="R2" s="11">
        <v>16</v>
      </c>
      <c r="S2" s="11" t="str">
        <f>"011000"</f>
        <v>011000</v>
      </c>
      <c r="T2" s="10">
        <v>43187</v>
      </c>
      <c r="U2" s="14">
        <v>5.7504999999999997</v>
      </c>
      <c r="V2" s="14">
        <v>0.40081</v>
      </c>
      <c r="W2" s="14">
        <v>5.3496899999999998</v>
      </c>
      <c r="X2" s="11">
        <v>9</v>
      </c>
      <c r="Y2" s="10">
        <v>43200</v>
      </c>
      <c r="Z2" s="11">
        <v>9741014589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5.7505000000000001E-2</v>
      </c>
      <c r="AG2" s="11" t="s">
        <v>46</v>
      </c>
    </row>
    <row r="3" spans="1:33" x14ac:dyDescent="0.2">
      <c r="A3" s="8">
        <v>330</v>
      </c>
      <c r="B3" s="9" t="s">
        <v>33</v>
      </c>
      <c r="C3" s="10">
        <v>43200</v>
      </c>
      <c r="D3" s="11">
        <v>10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"000304"</f>
        <v>000304</v>
      </c>
      <c r="M3" s="10">
        <v>42452</v>
      </c>
      <c r="N3" s="11" t="str">
        <f>"000088"</f>
        <v>000088</v>
      </c>
      <c r="O3" s="10">
        <v>42580</v>
      </c>
      <c r="P3" s="11" t="str">
        <f>"000331"</f>
        <v>000331</v>
      </c>
      <c r="Q3" s="10">
        <v>42580</v>
      </c>
      <c r="R3" s="11">
        <v>16</v>
      </c>
      <c r="S3" s="11" t="str">
        <f>"000215"</f>
        <v>000215</v>
      </c>
      <c r="T3" s="10">
        <v>43194</v>
      </c>
      <c r="U3" s="14">
        <v>14.4499</v>
      </c>
      <c r="V3" s="14">
        <v>1.0364599999999999</v>
      </c>
      <c r="W3" s="14">
        <v>13.41344</v>
      </c>
      <c r="X3" s="11">
        <v>9</v>
      </c>
      <c r="Y3" s="10">
        <v>43200</v>
      </c>
      <c r="Z3" s="11">
        <v>9448956136</v>
      </c>
      <c r="AA3" s="12" t="s">
        <v>50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0.14449899999999999</v>
      </c>
      <c r="AG3" s="11" t="s">
        <v>46</v>
      </c>
    </row>
    <row r="4" spans="1:33" x14ac:dyDescent="0.2">
      <c r="A4" s="8">
        <v>562</v>
      </c>
      <c r="B4" s="9" t="s">
        <v>33</v>
      </c>
      <c r="C4" s="10">
        <v>43213</v>
      </c>
      <c r="D4" s="11">
        <v>10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51</v>
      </c>
      <c r="J4" s="12" t="s">
        <v>52</v>
      </c>
      <c r="K4" s="13" t="s">
        <v>49</v>
      </c>
      <c r="L4" s="11" t="str">
        <f>"000035"</f>
        <v>000035</v>
      </c>
      <c r="M4" s="10">
        <v>43089</v>
      </c>
      <c r="N4" s="11" t="str">
        <f>"000051"</f>
        <v>000051</v>
      </c>
      <c r="O4" s="10">
        <v>43175</v>
      </c>
      <c r="P4" s="11" t="str">
        <f>"000141"</f>
        <v>000141</v>
      </c>
      <c r="Q4" s="10">
        <v>43178</v>
      </c>
      <c r="R4" s="11">
        <v>18</v>
      </c>
      <c r="S4" s="11" t="str">
        <f>"000596"</f>
        <v>000596</v>
      </c>
      <c r="T4" s="10">
        <v>43207</v>
      </c>
      <c r="U4" s="14">
        <v>24.987310000000001</v>
      </c>
      <c r="V4" s="14">
        <v>2.2803599999999999</v>
      </c>
      <c r="W4" s="14">
        <v>22.706949999999999</v>
      </c>
      <c r="X4" s="11">
        <v>21</v>
      </c>
      <c r="Y4" s="10">
        <v>43213</v>
      </c>
      <c r="Z4" s="11">
        <v>9449863065</v>
      </c>
      <c r="AA4" s="12" t="s">
        <v>53</v>
      </c>
      <c r="AB4" s="11" t="s">
        <v>54</v>
      </c>
      <c r="AC4" s="12" t="s">
        <v>55</v>
      </c>
      <c r="AD4" s="11" t="s">
        <v>44</v>
      </c>
      <c r="AE4" s="12" t="s">
        <v>45</v>
      </c>
      <c r="AF4" s="14">
        <v>0.24987310000000001</v>
      </c>
      <c r="AG4" s="11" t="s">
        <v>46</v>
      </c>
    </row>
    <row r="5" spans="1:33" x14ac:dyDescent="0.2">
      <c r="A5" s="8">
        <v>563</v>
      </c>
      <c r="B5" s="9" t="s">
        <v>33</v>
      </c>
      <c r="C5" s="10">
        <v>43213</v>
      </c>
      <c r="D5" s="11">
        <v>10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56</v>
      </c>
      <c r="J5" s="12" t="s">
        <v>57</v>
      </c>
      <c r="K5" s="13" t="s">
        <v>49</v>
      </c>
      <c r="L5" s="11" t="str">
        <f>"000034"</f>
        <v>000034</v>
      </c>
      <c r="M5" s="10">
        <v>43089</v>
      </c>
      <c r="N5" s="11" t="str">
        <f>"000049"</f>
        <v>000049</v>
      </c>
      <c r="O5" s="10">
        <v>43175</v>
      </c>
      <c r="P5" s="11" t="str">
        <f>"000142"</f>
        <v>000142</v>
      </c>
      <c r="Q5" s="10">
        <v>43179</v>
      </c>
      <c r="R5" s="11">
        <v>18</v>
      </c>
      <c r="S5" s="11" t="str">
        <f>"000597"</f>
        <v>000597</v>
      </c>
      <c r="T5" s="10">
        <v>43207</v>
      </c>
      <c r="U5" s="14">
        <v>24.99249</v>
      </c>
      <c r="V5" s="14">
        <v>2.2733099999999999</v>
      </c>
      <c r="W5" s="14">
        <v>22.719180000000001</v>
      </c>
      <c r="X5" s="11">
        <v>21</v>
      </c>
      <c r="Y5" s="10">
        <v>43213</v>
      </c>
      <c r="Z5" s="11">
        <v>9449863065</v>
      </c>
      <c r="AA5" s="12" t="s">
        <v>53</v>
      </c>
      <c r="AB5" s="11" t="s">
        <v>54</v>
      </c>
      <c r="AC5" s="12" t="s">
        <v>55</v>
      </c>
      <c r="AD5" s="11" t="s">
        <v>44</v>
      </c>
      <c r="AE5" s="12" t="s">
        <v>45</v>
      </c>
      <c r="AF5" s="14">
        <v>0.24992490000000001</v>
      </c>
      <c r="AG5" s="11" t="s">
        <v>46</v>
      </c>
    </row>
    <row r="6" spans="1:33" x14ac:dyDescent="0.2">
      <c r="A6" s="8">
        <v>564</v>
      </c>
      <c r="B6" s="9" t="s">
        <v>33</v>
      </c>
      <c r="C6" s="10">
        <v>43213</v>
      </c>
      <c r="D6" s="11">
        <v>10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58</v>
      </c>
      <c r="J6" s="12" t="s">
        <v>59</v>
      </c>
      <c r="K6" s="13" t="s">
        <v>49</v>
      </c>
      <c r="L6" s="11" t="str">
        <f>"000036"</f>
        <v>000036</v>
      </c>
      <c r="M6" s="10">
        <v>43089</v>
      </c>
      <c r="N6" s="11" t="str">
        <f>"000050"</f>
        <v>000050</v>
      </c>
      <c r="O6" s="10">
        <v>43175</v>
      </c>
      <c r="P6" s="11" t="str">
        <f>"000140"</f>
        <v>000140</v>
      </c>
      <c r="Q6" s="10">
        <v>43178</v>
      </c>
      <c r="R6" s="11">
        <v>18</v>
      </c>
      <c r="S6" s="11" t="str">
        <f>"000598"</f>
        <v>000598</v>
      </c>
      <c r="T6" s="10">
        <v>43207</v>
      </c>
      <c r="U6" s="14">
        <v>24.985430000000001</v>
      </c>
      <c r="V6" s="14">
        <v>2.28268</v>
      </c>
      <c r="W6" s="14">
        <v>22.702750000000002</v>
      </c>
      <c r="X6" s="11">
        <v>21</v>
      </c>
      <c r="Y6" s="10">
        <v>43213</v>
      </c>
      <c r="Z6" s="11">
        <v>9449863065</v>
      </c>
      <c r="AA6" s="12" t="s">
        <v>53</v>
      </c>
      <c r="AB6" s="11" t="s">
        <v>54</v>
      </c>
      <c r="AC6" s="12" t="s">
        <v>55</v>
      </c>
      <c r="AD6" s="11" t="s">
        <v>44</v>
      </c>
      <c r="AE6" s="12" t="s">
        <v>45</v>
      </c>
      <c r="AF6" s="14">
        <v>0.2498543</v>
      </c>
      <c r="AG6" s="11" t="s">
        <v>46</v>
      </c>
    </row>
    <row r="7" spans="1:33" x14ac:dyDescent="0.2">
      <c r="A7" s="8">
        <v>1161</v>
      </c>
      <c r="B7" s="9" t="s">
        <v>60</v>
      </c>
      <c r="C7" s="10">
        <v>43238</v>
      </c>
      <c r="D7" s="11">
        <v>10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61</v>
      </c>
      <c r="J7" s="12" t="s">
        <v>62</v>
      </c>
      <c r="K7" s="13" t="s">
        <v>49</v>
      </c>
      <c r="L7" s="11" t="str">
        <f>"000199"</f>
        <v>000199</v>
      </c>
      <c r="M7" s="10">
        <v>42405</v>
      </c>
      <c r="N7" s="11" t="str">
        <f>"000120"</f>
        <v>000120</v>
      </c>
      <c r="O7" s="10">
        <v>42607</v>
      </c>
      <c r="P7" s="11" t="str">
        <f>"000411"</f>
        <v>000411</v>
      </c>
      <c r="Q7" s="10">
        <v>42607</v>
      </c>
      <c r="R7" s="11">
        <v>16</v>
      </c>
      <c r="S7" s="11" t="str">
        <f>"001422"</f>
        <v>001422</v>
      </c>
      <c r="T7" s="10">
        <v>43236</v>
      </c>
      <c r="U7" s="14">
        <v>13.0427</v>
      </c>
      <c r="V7" s="14">
        <v>0.96880999999999995</v>
      </c>
      <c r="W7" s="14">
        <v>12.07389</v>
      </c>
      <c r="X7" s="11">
        <v>52</v>
      </c>
      <c r="Y7" s="10">
        <v>43238</v>
      </c>
      <c r="Z7" s="11">
        <v>9980915550</v>
      </c>
      <c r="AA7" s="12" t="s">
        <v>63</v>
      </c>
      <c r="AB7" s="11" t="s">
        <v>64</v>
      </c>
      <c r="AC7" s="12" t="s">
        <v>65</v>
      </c>
      <c r="AD7" s="11" t="s">
        <v>44</v>
      </c>
      <c r="AE7" s="12" t="s">
        <v>45</v>
      </c>
      <c r="AF7" s="14">
        <v>0.13042699999999999</v>
      </c>
      <c r="AG7" s="11" t="s">
        <v>46</v>
      </c>
    </row>
    <row r="8" spans="1:33" x14ac:dyDescent="0.2">
      <c r="A8" s="8">
        <v>1481</v>
      </c>
      <c r="B8" s="9" t="s">
        <v>60</v>
      </c>
      <c r="C8" s="10">
        <v>43251</v>
      </c>
      <c r="D8" s="11">
        <v>10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66</v>
      </c>
      <c r="J8" s="12" t="s">
        <v>67</v>
      </c>
      <c r="K8" s="13" t="s">
        <v>49</v>
      </c>
      <c r="L8" s="11" t="str">
        <f>"000323"</f>
        <v>000323</v>
      </c>
      <c r="M8" s="10">
        <v>42453</v>
      </c>
      <c r="N8" s="11" t="str">
        <f>"000134"</f>
        <v>000134</v>
      </c>
      <c r="O8" s="10">
        <v>42613</v>
      </c>
      <c r="P8" s="11" t="str">
        <f>"000429"</f>
        <v>000429</v>
      </c>
      <c r="Q8" s="10">
        <v>42613</v>
      </c>
      <c r="R8" s="11">
        <v>16</v>
      </c>
      <c r="S8" s="11" t="str">
        <f>"001756"</f>
        <v>001756</v>
      </c>
      <c r="T8" s="10">
        <v>43242</v>
      </c>
      <c r="U8" s="14">
        <v>14.3948</v>
      </c>
      <c r="V8" s="14">
        <v>0.98850000000000005</v>
      </c>
      <c r="W8" s="14">
        <v>13.4063</v>
      </c>
      <c r="X8" s="11">
        <v>67</v>
      </c>
      <c r="Y8" s="10">
        <v>43251</v>
      </c>
      <c r="Z8" s="11">
        <v>9448034435</v>
      </c>
      <c r="AA8" s="12" t="s">
        <v>68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0.14394799999999999</v>
      </c>
      <c r="AG8" s="11" t="s">
        <v>46</v>
      </c>
    </row>
    <row r="9" spans="1:33" x14ac:dyDescent="0.2">
      <c r="A9" s="8">
        <v>1482</v>
      </c>
      <c r="B9" s="9" t="s">
        <v>60</v>
      </c>
      <c r="C9" s="10">
        <v>43251</v>
      </c>
      <c r="D9" s="11">
        <v>10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69</v>
      </c>
      <c r="J9" s="12" t="s">
        <v>70</v>
      </c>
      <c r="K9" s="13" t="s">
        <v>49</v>
      </c>
      <c r="L9" s="11" t="str">
        <f>"000036"</f>
        <v>000036</v>
      </c>
      <c r="M9" s="10">
        <v>42510</v>
      </c>
      <c r="N9" s="11" t="str">
        <f>"000136"</f>
        <v>000136</v>
      </c>
      <c r="O9" s="10">
        <v>42612</v>
      </c>
      <c r="P9" s="11" t="str">
        <f>"000434"</f>
        <v>000434</v>
      </c>
      <c r="Q9" s="10">
        <v>42613</v>
      </c>
      <c r="R9" s="11">
        <v>16</v>
      </c>
      <c r="S9" s="11" t="str">
        <f>"001944"</f>
        <v>001944</v>
      </c>
      <c r="T9" s="10">
        <v>43246</v>
      </c>
      <c r="U9" s="14">
        <v>40.555599999999998</v>
      </c>
      <c r="V9" s="14">
        <v>3.1991499999999999</v>
      </c>
      <c r="W9" s="14">
        <v>37.356450000000002</v>
      </c>
      <c r="X9" s="11">
        <v>67</v>
      </c>
      <c r="Y9" s="10">
        <v>43251</v>
      </c>
      <c r="Z9" s="11">
        <v>9845818296</v>
      </c>
      <c r="AA9" s="12" t="s">
        <v>71</v>
      </c>
      <c r="AB9" s="11" t="s">
        <v>64</v>
      </c>
      <c r="AC9" s="12" t="s">
        <v>65</v>
      </c>
      <c r="AD9" s="11" t="s">
        <v>44</v>
      </c>
      <c r="AE9" s="12" t="s">
        <v>45</v>
      </c>
      <c r="AF9" s="14">
        <v>0.40555599999999997</v>
      </c>
      <c r="AG9" s="11" t="s">
        <v>46</v>
      </c>
    </row>
    <row r="10" spans="1:33" x14ac:dyDescent="0.2">
      <c r="A10" s="8">
        <v>2639</v>
      </c>
      <c r="B10" s="9" t="s">
        <v>72</v>
      </c>
      <c r="C10" s="10">
        <v>43276</v>
      </c>
      <c r="D10" s="11">
        <v>10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73</v>
      </c>
      <c r="J10" s="12" t="s">
        <v>74</v>
      </c>
      <c r="K10" s="13" t="s">
        <v>49</v>
      </c>
      <c r="L10" s="11" t="str">
        <f>"000033"</f>
        <v>000033</v>
      </c>
      <c r="M10" s="10">
        <v>43089</v>
      </c>
      <c r="N10" s="11" t="str">
        <f>"000009"</f>
        <v>000009</v>
      </c>
      <c r="O10" s="10">
        <v>43220</v>
      </c>
      <c r="P10" s="11" t="str">
        <f>"000011"</f>
        <v>000011</v>
      </c>
      <c r="Q10" s="10">
        <v>43237</v>
      </c>
      <c r="R10" s="11">
        <v>18</v>
      </c>
      <c r="S10" s="11" t="str">
        <f>"002649"</f>
        <v>002649</v>
      </c>
      <c r="T10" s="10">
        <v>43269</v>
      </c>
      <c r="U10" s="14">
        <v>24.901869999999999</v>
      </c>
      <c r="V10" s="14">
        <v>2.3473700000000002</v>
      </c>
      <c r="W10" s="14">
        <v>22.554500000000001</v>
      </c>
      <c r="X10" s="11">
        <v>100</v>
      </c>
      <c r="Y10" s="10">
        <v>43276</v>
      </c>
      <c r="Z10" s="11">
        <v>9449863065</v>
      </c>
      <c r="AA10" s="12" t="s">
        <v>53</v>
      </c>
      <c r="AB10" s="11" t="s">
        <v>54</v>
      </c>
      <c r="AC10" s="12" t="s">
        <v>55</v>
      </c>
      <c r="AD10" s="11" t="s">
        <v>44</v>
      </c>
      <c r="AE10" s="12" t="s">
        <v>45</v>
      </c>
      <c r="AF10" s="14">
        <v>0.24901869999999998</v>
      </c>
      <c r="AG10" s="11" t="s">
        <v>75</v>
      </c>
    </row>
    <row r="11" spans="1:33" x14ac:dyDescent="0.2">
      <c r="A11" s="8">
        <v>2778</v>
      </c>
      <c r="B11" s="9" t="s">
        <v>76</v>
      </c>
      <c r="C11" s="10">
        <v>43283</v>
      </c>
      <c r="D11" s="11">
        <v>10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77</v>
      </c>
      <c r="J11" s="12" t="s">
        <v>78</v>
      </c>
      <c r="K11" s="13" t="s">
        <v>49</v>
      </c>
      <c r="L11" s="11" t="str">
        <f>"000106"</f>
        <v>000106</v>
      </c>
      <c r="M11" s="10">
        <v>42601</v>
      </c>
      <c r="N11" s="11" t="str">
        <f>"000186"</f>
        <v>000186</v>
      </c>
      <c r="O11" s="10">
        <v>42676</v>
      </c>
      <c r="P11" s="11" t="str">
        <f>"000630"</f>
        <v>000630</v>
      </c>
      <c r="Q11" s="10">
        <v>42702</v>
      </c>
      <c r="R11" s="11">
        <v>17</v>
      </c>
      <c r="S11" s="11" t="str">
        <f>"003142"</f>
        <v>003142</v>
      </c>
      <c r="T11" s="10">
        <v>43280</v>
      </c>
      <c r="U11" s="14">
        <v>24.994340000000001</v>
      </c>
      <c r="V11" s="14">
        <v>3.14703</v>
      </c>
      <c r="W11" s="14">
        <v>21.84731</v>
      </c>
      <c r="X11" s="11">
        <v>106</v>
      </c>
      <c r="Y11" s="10">
        <v>43283</v>
      </c>
      <c r="Z11" s="11">
        <v>9449863065</v>
      </c>
      <c r="AA11" s="12" t="s">
        <v>79</v>
      </c>
      <c r="AB11" s="11" t="s">
        <v>80</v>
      </c>
      <c r="AC11" s="12" t="s">
        <v>81</v>
      </c>
      <c r="AD11" s="11" t="s">
        <v>44</v>
      </c>
      <c r="AE11" s="12" t="s">
        <v>45</v>
      </c>
      <c r="AF11" s="14">
        <v>0.24994340000000001</v>
      </c>
      <c r="AG11" s="11" t="s">
        <v>46</v>
      </c>
    </row>
    <row r="12" spans="1:33" x14ac:dyDescent="0.2">
      <c r="A12" s="8">
        <v>2779</v>
      </c>
      <c r="B12" s="9" t="s">
        <v>76</v>
      </c>
      <c r="C12" s="10">
        <v>43283</v>
      </c>
      <c r="D12" s="11">
        <v>10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82</v>
      </c>
      <c r="J12" s="12" t="s">
        <v>83</v>
      </c>
      <c r="K12" s="13" t="s">
        <v>49</v>
      </c>
      <c r="L12" s="11" t="str">
        <f>"000107"</f>
        <v>000107</v>
      </c>
      <c r="M12" s="10">
        <v>42601</v>
      </c>
      <c r="N12" s="11" t="str">
        <f>"000184"</f>
        <v>000184</v>
      </c>
      <c r="O12" s="10">
        <v>42676</v>
      </c>
      <c r="P12" s="11" t="str">
        <f>"000631"</f>
        <v>000631</v>
      </c>
      <c r="Q12" s="10">
        <v>42702</v>
      </c>
      <c r="R12" s="11">
        <v>17</v>
      </c>
      <c r="S12" s="11" t="str">
        <f>"003143"</f>
        <v>003143</v>
      </c>
      <c r="T12" s="10">
        <v>43280</v>
      </c>
      <c r="U12" s="14">
        <v>24.999079999999999</v>
      </c>
      <c r="V12" s="14">
        <v>3.1598299999999999</v>
      </c>
      <c r="W12" s="14">
        <v>21.83925</v>
      </c>
      <c r="X12" s="11">
        <v>106</v>
      </c>
      <c r="Y12" s="10">
        <v>43283</v>
      </c>
      <c r="Z12" s="11">
        <v>9449863065</v>
      </c>
      <c r="AA12" s="12" t="s">
        <v>79</v>
      </c>
      <c r="AB12" s="11" t="s">
        <v>80</v>
      </c>
      <c r="AC12" s="12" t="s">
        <v>81</v>
      </c>
      <c r="AD12" s="11" t="s">
        <v>44</v>
      </c>
      <c r="AE12" s="12" t="s">
        <v>45</v>
      </c>
      <c r="AF12" s="14">
        <v>0.24999079999999999</v>
      </c>
      <c r="AG12" s="11" t="s">
        <v>46</v>
      </c>
    </row>
    <row r="13" spans="1:33" x14ac:dyDescent="0.2">
      <c r="A13" s="8">
        <v>2780</v>
      </c>
      <c r="B13" s="9" t="s">
        <v>76</v>
      </c>
      <c r="C13" s="10">
        <v>43283</v>
      </c>
      <c r="D13" s="11">
        <v>10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84</v>
      </c>
      <c r="J13" s="12" t="s">
        <v>85</v>
      </c>
      <c r="K13" s="13" t="s">
        <v>49</v>
      </c>
      <c r="L13" s="11" t="str">
        <f>"000108"</f>
        <v>000108</v>
      </c>
      <c r="M13" s="10">
        <v>42601</v>
      </c>
      <c r="N13" s="11" t="str">
        <f>"000183"</f>
        <v>000183</v>
      </c>
      <c r="O13" s="10">
        <v>42676</v>
      </c>
      <c r="P13" s="11" t="str">
        <f>"000632"</f>
        <v>000632</v>
      </c>
      <c r="Q13" s="10">
        <v>42702</v>
      </c>
      <c r="R13" s="11">
        <v>17</v>
      </c>
      <c r="S13" s="11" t="str">
        <f>"003144"</f>
        <v>003144</v>
      </c>
      <c r="T13" s="10">
        <v>43280</v>
      </c>
      <c r="U13" s="14">
        <v>24.988299999999999</v>
      </c>
      <c r="V13" s="14">
        <v>3.2075399999999998</v>
      </c>
      <c r="W13" s="14">
        <v>21.780760000000001</v>
      </c>
      <c r="X13" s="11">
        <v>106</v>
      </c>
      <c r="Y13" s="10">
        <v>43283</v>
      </c>
      <c r="Z13" s="11">
        <v>9449863065</v>
      </c>
      <c r="AA13" s="12" t="s">
        <v>79</v>
      </c>
      <c r="AB13" s="11" t="s">
        <v>80</v>
      </c>
      <c r="AC13" s="12" t="s">
        <v>81</v>
      </c>
      <c r="AD13" s="11" t="s">
        <v>44</v>
      </c>
      <c r="AE13" s="12" t="s">
        <v>45</v>
      </c>
      <c r="AF13" s="14">
        <v>0.24988299999999999</v>
      </c>
      <c r="AG13" s="11" t="s">
        <v>46</v>
      </c>
    </row>
    <row r="14" spans="1:33" x14ac:dyDescent="0.2">
      <c r="A14" s="8">
        <v>3139</v>
      </c>
      <c r="B14" s="9" t="s">
        <v>76</v>
      </c>
      <c r="C14" s="10">
        <v>43290</v>
      </c>
      <c r="D14" s="11">
        <v>10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86</v>
      </c>
      <c r="J14" s="12" t="s">
        <v>87</v>
      </c>
      <c r="K14" s="13" t="s">
        <v>49</v>
      </c>
      <c r="L14" s="11" t="str">
        <f>"000229"</f>
        <v>000229</v>
      </c>
      <c r="M14" s="10">
        <v>42461</v>
      </c>
      <c r="N14" s="11" t="str">
        <f>"000206"</f>
        <v>000206</v>
      </c>
      <c r="O14" s="10">
        <v>42704</v>
      </c>
      <c r="P14" s="11" t="str">
        <f>"000667"</f>
        <v>000667</v>
      </c>
      <c r="Q14" s="10">
        <v>42704</v>
      </c>
      <c r="R14" s="11">
        <v>16</v>
      </c>
      <c r="S14" s="11" t="str">
        <f>"003385"</f>
        <v>003385</v>
      </c>
      <c r="T14" s="10">
        <v>43288</v>
      </c>
      <c r="U14" s="14">
        <v>28.472740000000002</v>
      </c>
      <c r="V14" s="14">
        <v>2.2751100000000002</v>
      </c>
      <c r="W14" s="14">
        <v>26.19763</v>
      </c>
      <c r="X14" s="11">
        <v>117</v>
      </c>
      <c r="Y14" s="10">
        <v>43290</v>
      </c>
      <c r="Z14" s="11">
        <v>9448956136</v>
      </c>
      <c r="AA14" s="12" t="s">
        <v>88</v>
      </c>
      <c r="AB14" s="11" t="s">
        <v>64</v>
      </c>
      <c r="AC14" s="12" t="s">
        <v>65</v>
      </c>
      <c r="AD14" s="11" t="s">
        <v>44</v>
      </c>
      <c r="AE14" s="12" t="s">
        <v>45</v>
      </c>
      <c r="AF14" s="14">
        <v>0.28472740000000002</v>
      </c>
      <c r="AG14" s="11" t="s">
        <v>46</v>
      </c>
    </row>
    <row r="15" spans="1:33" x14ac:dyDescent="0.2">
      <c r="A15" s="8">
        <v>3266</v>
      </c>
      <c r="B15" s="9" t="s">
        <v>76</v>
      </c>
      <c r="C15" s="10">
        <v>43297</v>
      </c>
      <c r="D15" s="11">
        <v>10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89</v>
      </c>
      <c r="J15" s="12" t="s">
        <v>90</v>
      </c>
      <c r="K15" s="13" t="s">
        <v>91</v>
      </c>
      <c r="L15" s="11" t="str">
        <f>"000122"</f>
        <v>000122</v>
      </c>
      <c r="M15" s="10">
        <v>42613</v>
      </c>
      <c r="N15" s="11" t="str">
        <f>"000196"</f>
        <v>000196</v>
      </c>
      <c r="O15" s="10">
        <v>42698</v>
      </c>
      <c r="P15" s="11" t="str">
        <f>"000668"</f>
        <v>000668</v>
      </c>
      <c r="Q15" s="10">
        <v>42716</v>
      </c>
      <c r="R15" s="11">
        <v>16</v>
      </c>
      <c r="S15" s="11" t="str">
        <f>"003497"</f>
        <v>003497</v>
      </c>
      <c r="T15" s="10">
        <v>43291</v>
      </c>
      <c r="U15" s="14">
        <v>4.9975300000000002</v>
      </c>
      <c r="V15" s="14">
        <v>0.30486000000000002</v>
      </c>
      <c r="W15" s="14">
        <v>4.6926699999999997</v>
      </c>
      <c r="X15" s="11">
        <v>125</v>
      </c>
      <c r="Y15" s="10">
        <v>43297</v>
      </c>
      <c r="Z15" s="11">
        <v>9886368484</v>
      </c>
      <c r="AA15" s="12" t="s">
        <v>92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v>4.99753E-2</v>
      </c>
      <c r="AG15" s="11" t="s">
        <v>46</v>
      </c>
    </row>
    <row r="16" spans="1:33" x14ac:dyDescent="0.2">
      <c r="A16" s="8">
        <v>3400</v>
      </c>
      <c r="B16" s="9" t="s">
        <v>76</v>
      </c>
      <c r="C16" s="10">
        <v>43299</v>
      </c>
      <c r="D16" s="11">
        <v>10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93</v>
      </c>
      <c r="J16" s="12" t="s">
        <v>94</v>
      </c>
      <c r="K16" s="13" t="s">
        <v>40</v>
      </c>
      <c r="L16" s="11" t="str">
        <f>"000028"</f>
        <v>000028</v>
      </c>
      <c r="M16" s="10">
        <v>42737</v>
      </c>
      <c r="N16" s="11" t="str">
        <f>"000028"</f>
        <v>000028</v>
      </c>
      <c r="O16" s="10">
        <v>43111</v>
      </c>
      <c r="P16" s="11" t="str">
        <f>"000028"</f>
        <v>000028</v>
      </c>
      <c r="Q16" s="10">
        <v>43111</v>
      </c>
      <c r="R16" s="11">
        <v>16</v>
      </c>
      <c r="S16" s="11" t="str">
        <f>"003876"</f>
        <v>003876</v>
      </c>
      <c r="T16" s="10">
        <v>43297</v>
      </c>
      <c r="U16" s="14">
        <v>3.12629</v>
      </c>
      <c r="V16" s="14">
        <v>0.2417</v>
      </c>
      <c r="W16" s="14">
        <v>2.8845900000000002</v>
      </c>
      <c r="X16" s="11">
        <v>127</v>
      </c>
      <c r="Y16" s="10">
        <v>43299</v>
      </c>
      <c r="Z16" s="11">
        <v>9945535033</v>
      </c>
      <c r="AA16" s="12" t="s">
        <v>95</v>
      </c>
      <c r="AB16" s="11" t="s">
        <v>96</v>
      </c>
      <c r="AC16" s="12" t="s">
        <v>97</v>
      </c>
      <c r="AD16" s="11" t="s">
        <v>98</v>
      </c>
      <c r="AE16" s="12" t="s">
        <v>99</v>
      </c>
      <c r="AF16" s="14">
        <v>3.1262900000000003E-2</v>
      </c>
      <c r="AG16" s="11" t="s">
        <v>46</v>
      </c>
    </row>
    <row r="17" spans="1:33" x14ac:dyDescent="0.2">
      <c r="A17" s="8">
        <v>3401</v>
      </c>
      <c r="B17" s="9" t="s">
        <v>76</v>
      </c>
      <c r="C17" s="10">
        <v>43299</v>
      </c>
      <c r="D17" s="11">
        <v>10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93</v>
      </c>
      <c r="J17" s="12" t="s">
        <v>94</v>
      </c>
      <c r="K17" s="13" t="s">
        <v>40</v>
      </c>
      <c r="L17" s="11" t="str">
        <f>"000028"</f>
        <v>000028</v>
      </c>
      <c r="M17" s="10">
        <v>42737</v>
      </c>
      <c r="N17" s="11" t="str">
        <f>"000028"</f>
        <v>000028</v>
      </c>
      <c r="O17" s="10">
        <v>43111</v>
      </c>
      <c r="P17" s="11" t="str">
        <f>"000028"</f>
        <v>000028</v>
      </c>
      <c r="Q17" s="10">
        <v>43111</v>
      </c>
      <c r="R17" s="11">
        <v>16</v>
      </c>
      <c r="S17" s="11" t="str">
        <f>"003876"</f>
        <v>003876</v>
      </c>
      <c r="T17" s="10">
        <v>43297</v>
      </c>
      <c r="U17" s="14">
        <v>6.39018</v>
      </c>
      <c r="V17" s="14">
        <v>0.44679000000000002</v>
      </c>
      <c r="W17" s="14">
        <v>5.94339</v>
      </c>
      <c r="X17" s="11">
        <v>127</v>
      </c>
      <c r="Y17" s="10">
        <v>43299</v>
      </c>
      <c r="Z17" s="11">
        <v>9945535033</v>
      </c>
      <c r="AA17" s="12" t="s">
        <v>95</v>
      </c>
      <c r="AB17" s="11" t="s">
        <v>96</v>
      </c>
      <c r="AC17" s="12" t="s">
        <v>97</v>
      </c>
      <c r="AD17" s="11" t="s">
        <v>98</v>
      </c>
      <c r="AE17" s="12" t="s">
        <v>99</v>
      </c>
      <c r="AF17" s="14">
        <v>6.3901799999999995E-2</v>
      </c>
      <c r="AG17" s="11" t="s">
        <v>46</v>
      </c>
    </row>
    <row r="18" spans="1:33" x14ac:dyDescent="0.2">
      <c r="A18" s="8">
        <v>3892</v>
      </c>
      <c r="B18" s="9" t="s">
        <v>76</v>
      </c>
      <c r="C18" s="10">
        <v>43305</v>
      </c>
      <c r="D18" s="11">
        <v>10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100</v>
      </c>
      <c r="J18" s="12" t="s">
        <v>101</v>
      </c>
      <c r="K18" s="13" t="s">
        <v>49</v>
      </c>
      <c r="L18" s="11" t="str">
        <f>"000110"</f>
        <v>000110</v>
      </c>
      <c r="M18" s="10">
        <v>42601</v>
      </c>
      <c r="N18" s="11" t="str">
        <f>"000085"</f>
        <v>000085</v>
      </c>
      <c r="O18" s="10">
        <v>42676</v>
      </c>
      <c r="P18" s="11" t="str">
        <f>"000629"</f>
        <v>000629</v>
      </c>
      <c r="Q18" s="10">
        <v>42702</v>
      </c>
      <c r="R18" s="11">
        <v>17</v>
      </c>
      <c r="S18" s="11" t="str">
        <f>"004127"</f>
        <v>004127</v>
      </c>
      <c r="T18" s="10">
        <v>43301</v>
      </c>
      <c r="U18" s="14">
        <v>23.990970000000001</v>
      </c>
      <c r="V18" s="14">
        <v>3.1827299999999998</v>
      </c>
      <c r="W18" s="14">
        <v>20.808240000000001</v>
      </c>
      <c r="X18" s="11">
        <v>139</v>
      </c>
      <c r="Y18" s="10">
        <v>43305</v>
      </c>
      <c r="Z18" s="11">
        <v>9449863065</v>
      </c>
      <c r="AA18" s="12" t="s">
        <v>79</v>
      </c>
      <c r="AB18" s="11" t="s">
        <v>80</v>
      </c>
      <c r="AC18" s="12" t="s">
        <v>81</v>
      </c>
      <c r="AD18" s="11" t="s">
        <v>44</v>
      </c>
      <c r="AE18" s="12" t="s">
        <v>45</v>
      </c>
      <c r="AF18" s="14">
        <v>0.2399097</v>
      </c>
      <c r="AG18" s="11" t="s">
        <v>46</v>
      </c>
    </row>
    <row r="19" spans="1:33" x14ac:dyDescent="0.2">
      <c r="A19" s="8">
        <v>4726</v>
      </c>
      <c r="B19" s="9" t="s">
        <v>102</v>
      </c>
      <c r="C19" s="10">
        <v>43326</v>
      </c>
      <c r="D19" s="11">
        <v>10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103</v>
      </c>
      <c r="J19" s="12" t="s">
        <v>104</v>
      </c>
      <c r="K19" s="13" t="s">
        <v>40</v>
      </c>
      <c r="L19" s="11" t="str">
        <f>"000144"</f>
        <v>000144</v>
      </c>
      <c r="M19" s="10">
        <v>42679</v>
      </c>
      <c r="N19" s="11" t="str">
        <f>"000277"</f>
        <v>000277</v>
      </c>
      <c r="O19" s="10">
        <v>42809</v>
      </c>
      <c r="P19" s="11" t="str">
        <f>"000933"</f>
        <v>000933</v>
      </c>
      <c r="Q19" s="10">
        <v>42825</v>
      </c>
      <c r="R19" s="11">
        <v>15</v>
      </c>
      <c r="S19" s="11" t="str">
        <f>"004896"</f>
        <v>004896</v>
      </c>
      <c r="T19" s="10">
        <v>43318</v>
      </c>
      <c r="U19" s="14">
        <v>25</v>
      </c>
      <c r="V19" s="14">
        <v>1.77973</v>
      </c>
      <c r="W19" s="14">
        <v>23.220269999999999</v>
      </c>
      <c r="X19" s="11">
        <v>170</v>
      </c>
      <c r="Y19" s="10">
        <v>43326</v>
      </c>
      <c r="Z19" s="11">
        <v>9449863065</v>
      </c>
      <c r="AA19" s="12" t="s">
        <v>79</v>
      </c>
      <c r="AB19" s="11" t="s">
        <v>105</v>
      </c>
      <c r="AC19" s="12" t="s">
        <v>106</v>
      </c>
      <c r="AD19" s="11" t="s">
        <v>44</v>
      </c>
      <c r="AE19" s="12" t="s">
        <v>45</v>
      </c>
      <c r="AF19" s="14">
        <v>0.25</v>
      </c>
      <c r="AG19" s="11" t="s">
        <v>46</v>
      </c>
    </row>
    <row r="20" spans="1:33" x14ac:dyDescent="0.2">
      <c r="A20" s="8">
        <v>4727</v>
      </c>
      <c r="B20" s="9" t="s">
        <v>102</v>
      </c>
      <c r="C20" s="10">
        <v>43326</v>
      </c>
      <c r="D20" s="11">
        <v>10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107</v>
      </c>
      <c r="J20" s="12" t="s">
        <v>108</v>
      </c>
      <c r="K20" s="13" t="s">
        <v>49</v>
      </c>
      <c r="L20" s="11" t="str">
        <f>"000191"</f>
        <v>000191</v>
      </c>
      <c r="M20" s="10">
        <v>42403</v>
      </c>
      <c r="N20" s="11" t="str">
        <f>"000278"</f>
        <v>000278</v>
      </c>
      <c r="O20" s="10">
        <v>42817</v>
      </c>
      <c r="P20" s="11" t="str">
        <f>"000872"</f>
        <v>000872</v>
      </c>
      <c r="Q20" s="10">
        <v>42817</v>
      </c>
      <c r="R20" s="11">
        <v>16</v>
      </c>
      <c r="S20" s="11" t="str">
        <f>"005055"</f>
        <v>005055</v>
      </c>
      <c r="T20" s="10">
        <v>43322</v>
      </c>
      <c r="U20" s="14">
        <v>23.650670000000002</v>
      </c>
      <c r="V20" s="14">
        <v>1.7844599999999999</v>
      </c>
      <c r="W20" s="14">
        <v>21.866209999999999</v>
      </c>
      <c r="X20" s="11">
        <v>170</v>
      </c>
      <c r="Y20" s="10">
        <v>43326</v>
      </c>
      <c r="Z20" s="11">
        <v>8553121546</v>
      </c>
      <c r="AA20" s="12" t="s">
        <v>109</v>
      </c>
      <c r="AB20" s="11" t="s">
        <v>64</v>
      </c>
      <c r="AC20" s="12" t="s">
        <v>65</v>
      </c>
      <c r="AD20" s="11" t="s">
        <v>44</v>
      </c>
      <c r="AE20" s="12" t="s">
        <v>45</v>
      </c>
      <c r="AF20" s="14">
        <v>0.23650670000000001</v>
      </c>
      <c r="AG20" s="11" t="s">
        <v>46</v>
      </c>
    </row>
    <row r="21" spans="1:33" x14ac:dyDescent="0.2">
      <c r="A21" s="8">
        <v>5065</v>
      </c>
      <c r="B21" s="9" t="s">
        <v>102</v>
      </c>
      <c r="C21" s="10">
        <v>43337</v>
      </c>
      <c r="D21" s="11">
        <v>10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110</v>
      </c>
      <c r="J21" s="12" t="s">
        <v>111</v>
      </c>
      <c r="K21" s="13" t="s">
        <v>49</v>
      </c>
      <c r="L21" s="11" t="str">
        <f>"000175"</f>
        <v>000175</v>
      </c>
      <c r="M21" s="10">
        <v>42776</v>
      </c>
      <c r="N21" s="11" t="str">
        <f>"000282"</f>
        <v>000282</v>
      </c>
      <c r="O21" s="10">
        <v>42818</v>
      </c>
      <c r="P21" s="11" t="str">
        <f>"000934"</f>
        <v>000934</v>
      </c>
      <c r="Q21" s="10">
        <v>42825</v>
      </c>
      <c r="R21" s="11">
        <v>17</v>
      </c>
      <c r="S21" s="11" t="str">
        <f>"003120"</f>
        <v>003120</v>
      </c>
      <c r="T21" s="10">
        <v>42900</v>
      </c>
      <c r="U21" s="14">
        <v>9.8551699999999993</v>
      </c>
      <c r="V21" s="14">
        <v>0.31522</v>
      </c>
      <c r="W21" s="14">
        <v>9.5399499999999993</v>
      </c>
      <c r="X21" s="11">
        <v>180</v>
      </c>
      <c r="Y21" s="10">
        <v>43337</v>
      </c>
      <c r="Z21" s="11">
        <v>9980915550</v>
      </c>
      <c r="AA21" s="12" t="s">
        <v>63</v>
      </c>
      <c r="AB21" s="11" t="s">
        <v>42</v>
      </c>
      <c r="AC21" s="12" t="s">
        <v>43</v>
      </c>
      <c r="AD21" s="11" t="s">
        <v>44</v>
      </c>
      <c r="AE21" s="12" t="s">
        <v>45</v>
      </c>
      <c r="AF21" s="14">
        <v>9.8551699999999992E-2</v>
      </c>
      <c r="AG21" s="11" t="s">
        <v>46</v>
      </c>
    </row>
    <row r="22" spans="1:33" x14ac:dyDescent="0.2">
      <c r="A22" s="8">
        <v>5164</v>
      </c>
      <c r="B22" s="9" t="s">
        <v>112</v>
      </c>
      <c r="C22" s="10">
        <v>43346</v>
      </c>
      <c r="D22" s="11">
        <v>10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113</v>
      </c>
      <c r="J22" s="12" t="s">
        <v>114</v>
      </c>
      <c r="K22" s="13" t="s">
        <v>40</v>
      </c>
      <c r="L22" s="11" t="str">
        <f>"000003"</f>
        <v>000003</v>
      </c>
      <c r="M22" s="10">
        <v>43033</v>
      </c>
      <c r="N22" s="11" t="str">
        <f>"000012"</f>
        <v>000012</v>
      </c>
      <c r="O22" s="10">
        <v>43067</v>
      </c>
      <c r="P22" s="11" t="str">
        <f>"000012"</f>
        <v>000012</v>
      </c>
      <c r="Q22" s="10">
        <v>43067</v>
      </c>
      <c r="R22" s="11">
        <v>17</v>
      </c>
      <c r="S22" s="11" t="str">
        <f>"009881"</f>
        <v>009881</v>
      </c>
      <c r="T22" s="10">
        <v>43152</v>
      </c>
      <c r="U22" s="14">
        <v>8.7185299999999994</v>
      </c>
      <c r="V22" s="14">
        <v>0.18310000000000001</v>
      </c>
      <c r="W22" s="14">
        <v>8.5354299999999999</v>
      </c>
      <c r="X22" s="11">
        <v>186</v>
      </c>
      <c r="Y22" s="10">
        <v>43346</v>
      </c>
      <c r="Z22" s="11">
        <v>9341423529</v>
      </c>
      <c r="AA22" s="12" t="s">
        <v>115</v>
      </c>
      <c r="AB22" s="11" t="s">
        <v>116</v>
      </c>
      <c r="AC22" s="12" t="s">
        <v>117</v>
      </c>
      <c r="AD22" s="11" t="s">
        <v>98</v>
      </c>
      <c r="AE22" s="12" t="s">
        <v>99</v>
      </c>
      <c r="AF22" s="14">
        <f t="shared" ref="AF22:AF40" si="0">U22/100</f>
        <v>8.7185299999999993E-2</v>
      </c>
      <c r="AG22" s="11" t="s">
        <v>46</v>
      </c>
    </row>
    <row r="23" spans="1:33" x14ac:dyDescent="0.2">
      <c r="A23" s="8">
        <v>5594</v>
      </c>
      <c r="B23" s="9" t="s">
        <v>112</v>
      </c>
      <c r="C23" s="10">
        <v>43370</v>
      </c>
      <c r="D23" s="11">
        <v>10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118</v>
      </c>
      <c r="J23" s="12" t="s">
        <v>119</v>
      </c>
      <c r="K23" s="13" t="s">
        <v>120</v>
      </c>
      <c r="L23" s="11" t="str">
        <f>"000078"</f>
        <v>000078</v>
      </c>
      <c r="M23" s="10">
        <v>42895</v>
      </c>
      <c r="N23" s="11" t="str">
        <f>"000030"</f>
        <v>000030</v>
      </c>
      <c r="O23" s="10">
        <v>43085</v>
      </c>
      <c r="P23" s="11" t="str">
        <f>"000069"</f>
        <v>000069</v>
      </c>
      <c r="Q23" s="10">
        <v>43095</v>
      </c>
      <c r="R23" s="11">
        <v>17</v>
      </c>
      <c r="S23" s="11" t="str">
        <f>"005950"</f>
        <v>005950</v>
      </c>
      <c r="T23" s="10">
        <v>43368</v>
      </c>
      <c r="U23" s="14">
        <v>8.9011200000000006</v>
      </c>
      <c r="V23" s="14">
        <v>0.18692</v>
      </c>
      <c r="W23" s="14">
        <v>8.7141999999999999</v>
      </c>
      <c r="X23" s="11">
        <v>218</v>
      </c>
      <c r="Y23" s="10">
        <v>43370</v>
      </c>
      <c r="Z23" s="11">
        <v>9844317136</v>
      </c>
      <c r="AA23" s="12" t="s">
        <v>121</v>
      </c>
      <c r="AB23" s="11" t="s">
        <v>122</v>
      </c>
      <c r="AC23" s="12" t="s">
        <v>123</v>
      </c>
      <c r="AD23" s="11" t="s">
        <v>44</v>
      </c>
      <c r="AE23" s="12" t="s">
        <v>45</v>
      </c>
      <c r="AF23" s="14">
        <f t="shared" si="0"/>
        <v>8.9011200000000013E-2</v>
      </c>
      <c r="AG23" s="11" t="s">
        <v>46</v>
      </c>
    </row>
    <row r="24" spans="1:33" x14ac:dyDescent="0.2">
      <c r="A24" s="8">
        <v>5916</v>
      </c>
      <c r="B24" s="9" t="s">
        <v>124</v>
      </c>
      <c r="C24" s="10">
        <v>43385</v>
      </c>
      <c r="D24" s="11">
        <v>10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125</v>
      </c>
      <c r="J24" s="12" t="s">
        <v>126</v>
      </c>
      <c r="K24" s="13" t="s">
        <v>49</v>
      </c>
      <c r="L24" s="11" t="str">
        <f>"000032"</f>
        <v>000032</v>
      </c>
      <c r="M24" s="10">
        <v>42510</v>
      </c>
      <c r="N24" s="11" t="str">
        <f>"000008"</f>
        <v>000008</v>
      </c>
      <c r="O24" s="10">
        <v>42853</v>
      </c>
      <c r="P24" s="11" t="str">
        <f>"000033"</f>
        <v>000033</v>
      </c>
      <c r="Q24" s="10">
        <v>42853</v>
      </c>
      <c r="R24" s="11">
        <v>16</v>
      </c>
      <c r="S24" s="11" t="str">
        <f>"006064"</f>
        <v>006064</v>
      </c>
      <c r="T24" s="10">
        <v>43374</v>
      </c>
      <c r="U24" s="14">
        <v>35.878549999999997</v>
      </c>
      <c r="V24" s="14">
        <v>2.5950199999999999</v>
      </c>
      <c r="W24" s="14">
        <v>33.283529999999999</v>
      </c>
      <c r="X24" s="11">
        <v>230</v>
      </c>
      <c r="Y24" s="10">
        <v>43385</v>
      </c>
      <c r="Z24" s="11">
        <v>9845818296</v>
      </c>
      <c r="AA24" s="12" t="s">
        <v>127</v>
      </c>
      <c r="AB24" s="11" t="s">
        <v>64</v>
      </c>
      <c r="AC24" s="12" t="s">
        <v>65</v>
      </c>
      <c r="AD24" s="11" t="s">
        <v>44</v>
      </c>
      <c r="AE24" s="12" t="s">
        <v>45</v>
      </c>
      <c r="AF24" s="14">
        <f t="shared" si="0"/>
        <v>0.35878549999999998</v>
      </c>
      <c r="AG24" s="11" t="s">
        <v>46</v>
      </c>
    </row>
    <row r="25" spans="1:33" x14ac:dyDescent="0.2">
      <c r="A25" s="8">
        <v>5917</v>
      </c>
      <c r="B25" s="9" t="s">
        <v>124</v>
      </c>
      <c r="C25" s="10">
        <v>43385</v>
      </c>
      <c r="D25" s="11">
        <v>10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128</v>
      </c>
      <c r="J25" s="12" t="s">
        <v>129</v>
      </c>
      <c r="K25" s="13" t="s">
        <v>49</v>
      </c>
      <c r="L25" s="11" t="str">
        <f>"000001"</f>
        <v>000001</v>
      </c>
      <c r="M25" s="10">
        <v>42541</v>
      </c>
      <c r="N25" s="11" t="str">
        <f>"000063"</f>
        <v>000063</v>
      </c>
      <c r="O25" s="10">
        <v>43301</v>
      </c>
      <c r="P25" s="11" t="str">
        <f>"000063"</f>
        <v>000063</v>
      </c>
      <c r="Q25" s="10">
        <v>43301</v>
      </c>
      <c r="R25" s="11">
        <v>17</v>
      </c>
      <c r="S25" s="11" t="str">
        <f>"006335"</f>
        <v>006335</v>
      </c>
      <c r="T25" s="10">
        <v>43380</v>
      </c>
      <c r="U25" s="14">
        <v>75.621780000000001</v>
      </c>
      <c r="V25" s="14">
        <v>4.5519400000000001</v>
      </c>
      <c r="W25" s="14">
        <v>71.069839999999999</v>
      </c>
      <c r="X25" s="11">
        <v>232</v>
      </c>
      <c r="Y25" s="10">
        <v>43385</v>
      </c>
      <c r="Z25" s="11">
        <v>9845399599</v>
      </c>
      <c r="AA25" s="12" t="s">
        <v>130</v>
      </c>
      <c r="AB25" s="11" t="s">
        <v>131</v>
      </c>
      <c r="AC25" s="12" t="s">
        <v>132</v>
      </c>
      <c r="AD25" s="11" t="s">
        <v>133</v>
      </c>
      <c r="AE25" s="12" t="s">
        <v>134</v>
      </c>
      <c r="AF25" s="14">
        <f t="shared" si="0"/>
        <v>0.75621780000000005</v>
      </c>
      <c r="AG25" s="11" t="s">
        <v>75</v>
      </c>
    </row>
    <row r="26" spans="1:33" x14ac:dyDescent="0.2">
      <c r="A26" s="8">
        <v>6478</v>
      </c>
      <c r="B26" s="9" t="s">
        <v>124</v>
      </c>
      <c r="C26" s="10">
        <v>43389</v>
      </c>
      <c r="D26" s="11">
        <v>10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135</v>
      </c>
      <c r="J26" s="12" t="s">
        <v>136</v>
      </c>
      <c r="K26" s="13" t="s">
        <v>120</v>
      </c>
      <c r="L26" s="11" t="str">
        <f>"000129"</f>
        <v>000129</v>
      </c>
      <c r="M26" s="10">
        <v>43186</v>
      </c>
      <c r="N26" s="11" t="str">
        <f>"000040"</f>
        <v>000040</v>
      </c>
      <c r="O26" s="10">
        <v>43333</v>
      </c>
      <c r="P26" s="11" t="str">
        <f>"000078"</f>
        <v>000078</v>
      </c>
      <c r="Q26" s="10">
        <v>43337</v>
      </c>
      <c r="R26" s="11">
        <v>18</v>
      </c>
      <c r="S26" s="11" t="str">
        <f>"006633"</f>
        <v>006633</v>
      </c>
      <c r="T26" s="10">
        <v>43385</v>
      </c>
      <c r="U26" s="14">
        <v>846.98030000000006</v>
      </c>
      <c r="V26" s="14">
        <v>36.42015</v>
      </c>
      <c r="W26" s="14">
        <v>810.56015000000002</v>
      </c>
      <c r="X26" s="11">
        <v>235</v>
      </c>
      <c r="Y26" s="10">
        <v>43389</v>
      </c>
      <c r="Z26" s="11">
        <v>9880734198</v>
      </c>
      <c r="AA26" s="12" t="s">
        <v>137</v>
      </c>
      <c r="AB26" s="11" t="s">
        <v>131</v>
      </c>
      <c r="AC26" s="12" t="s">
        <v>132</v>
      </c>
      <c r="AD26" s="11" t="s">
        <v>44</v>
      </c>
      <c r="AE26" s="12" t="s">
        <v>45</v>
      </c>
      <c r="AF26" s="14">
        <f t="shared" si="0"/>
        <v>8.4698030000000006</v>
      </c>
      <c r="AG26" s="11" t="s">
        <v>75</v>
      </c>
    </row>
    <row r="27" spans="1:33" x14ac:dyDescent="0.2">
      <c r="A27" s="8">
        <v>6975</v>
      </c>
      <c r="B27" s="9" t="s">
        <v>124</v>
      </c>
      <c r="C27" s="10">
        <v>43403</v>
      </c>
      <c r="D27" s="11">
        <v>10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138</v>
      </c>
      <c r="J27" s="12" t="s">
        <v>139</v>
      </c>
      <c r="K27" s="13" t="s">
        <v>120</v>
      </c>
      <c r="L27" s="11" t="str">
        <f>"000213"</f>
        <v>000213</v>
      </c>
      <c r="M27" s="10">
        <v>42802</v>
      </c>
      <c r="N27" s="11" t="str">
        <f>"000005"</f>
        <v>000005</v>
      </c>
      <c r="O27" s="10">
        <v>42993</v>
      </c>
      <c r="P27" s="11" t="str">
        <f>"000018"</f>
        <v>000018</v>
      </c>
      <c r="Q27" s="10">
        <v>42993</v>
      </c>
      <c r="R27" s="11">
        <v>17</v>
      </c>
      <c r="S27" s="11" t="str">
        <f>"006955"</f>
        <v>006955</v>
      </c>
      <c r="T27" s="10">
        <v>43399</v>
      </c>
      <c r="U27" s="14">
        <v>4.5410399999999997</v>
      </c>
      <c r="V27" s="14">
        <v>0.18618000000000001</v>
      </c>
      <c r="W27" s="14">
        <v>4.3548600000000004</v>
      </c>
      <c r="X27" s="11">
        <v>253</v>
      </c>
      <c r="Y27" s="10">
        <v>43403</v>
      </c>
      <c r="Z27" s="11">
        <v>9845169003</v>
      </c>
      <c r="AA27" s="12" t="s">
        <v>140</v>
      </c>
      <c r="AB27" s="11" t="s">
        <v>42</v>
      </c>
      <c r="AC27" s="12" t="s">
        <v>43</v>
      </c>
      <c r="AD27" s="11" t="s">
        <v>44</v>
      </c>
      <c r="AE27" s="12" t="s">
        <v>45</v>
      </c>
      <c r="AF27" s="14">
        <f t="shared" si="0"/>
        <v>4.5410399999999997E-2</v>
      </c>
      <c r="AG27" s="11" t="s">
        <v>46</v>
      </c>
    </row>
    <row r="28" spans="1:33" x14ac:dyDescent="0.2">
      <c r="A28" s="8">
        <v>7423</v>
      </c>
      <c r="B28" s="9" t="s">
        <v>141</v>
      </c>
      <c r="C28" s="10">
        <v>43432</v>
      </c>
      <c r="D28" s="11">
        <v>10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142</v>
      </c>
      <c r="J28" s="12" t="s">
        <v>143</v>
      </c>
      <c r="K28" s="13" t="s">
        <v>91</v>
      </c>
      <c r="L28" s="11" t="str">
        <f>"000008"</f>
        <v>000008</v>
      </c>
      <c r="M28" s="10">
        <v>42095</v>
      </c>
      <c r="N28" s="11" t="str">
        <f>"000247"</f>
        <v>000247</v>
      </c>
      <c r="O28" s="10">
        <v>42369</v>
      </c>
      <c r="P28" s="11" t="str">
        <f>"000424"</f>
        <v>000424</v>
      </c>
      <c r="Q28" s="10">
        <v>42369</v>
      </c>
      <c r="R28" s="11">
        <v>15</v>
      </c>
      <c r="S28" s="11" t="str">
        <f>"000087"</f>
        <v>000087</v>
      </c>
      <c r="T28" s="10">
        <v>42831</v>
      </c>
      <c r="U28" s="14">
        <v>505.45940000000002</v>
      </c>
      <c r="V28" s="14">
        <v>31.943300000000001</v>
      </c>
      <c r="W28" s="14">
        <v>473.51609999999999</v>
      </c>
      <c r="X28" s="11">
        <v>278</v>
      </c>
      <c r="Y28" s="10">
        <v>43432</v>
      </c>
      <c r="Z28" s="11">
        <v>9844010737</v>
      </c>
      <c r="AA28" s="12" t="s">
        <v>144</v>
      </c>
      <c r="AB28" s="11" t="s">
        <v>145</v>
      </c>
      <c r="AC28" s="12" t="s">
        <v>146</v>
      </c>
      <c r="AD28" s="11" t="s">
        <v>147</v>
      </c>
      <c r="AE28" s="12" t="s">
        <v>148</v>
      </c>
      <c r="AF28" s="14">
        <f t="shared" si="0"/>
        <v>5.0545939999999998</v>
      </c>
      <c r="AG28" s="11" t="s">
        <v>46</v>
      </c>
    </row>
    <row r="29" spans="1:33" x14ac:dyDescent="0.2">
      <c r="A29" s="8">
        <v>7457</v>
      </c>
      <c r="B29" s="9" t="s">
        <v>149</v>
      </c>
      <c r="C29" s="10">
        <v>43437</v>
      </c>
      <c r="D29" s="11">
        <v>10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150</v>
      </c>
      <c r="J29" s="12" t="s">
        <v>151</v>
      </c>
      <c r="K29" s="13" t="s">
        <v>49</v>
      </c>
      <c r="L29" s="11" t="str">
        <f>"000264"</f>
        <v>000264</v>
      </c>
      <c r="M29" s="10">
        <v>42825</v>
      </c>
      <c r="N29" s="11" t="str">
        <f>"000022"</f>
        <v>000022</v>
      </c>
      <c r="O29" s="10">
        <v>42886</v>
      </c>
      <c r="P29" s="11" t="str">
        <f>"000078"</f>
        <v>000078</v>
      </c>
      <c r="Q29" s="10">
        <v>42886</v>
      </c>
      <c r="R29" s="11">
        <v>17</v>
      </c>
      <c r="S29" s="11" t="str">
        <f>"007448"</f>
        <v>007448</v>
      </c>
      <c r="T29" s="10">
        <v>43421</v>
      </c>
      <c r="U29" s="14">
        <v>17.904530000000001</v>
      </c>
      <c r="V29" s="14">
        <v>1.24437</v>
      </c>
      <c r="W29" s="14">
        <v>16.660160000000001</v>
      </c>
      <c r="X29" s="11">
        <v>279</v>
      </c>
      <c r="Y29" s="10">
        <v>43437</v>
      </c>
      <c r="Z29" s="11">
        <v>9448956136</v>
      </c>
      <c r="AA29" s="12" t="s">
        <v>152</v>
      </c>
      <c r="AB29" s="11" t="s">
        <v>42</v>
      </c>
      <c r="AC29" s="12" t="s">
        <v>43</v>
      </c>
      <c r="AD29" s="11" t="s">
        <v>44</v>
      </c>
      <c r="AE29" s="12" t="s">
        <v>45</v>
      </c>
      <c r="AF29" s="14">
        <f t="shared" si="0"/>
        <v>0.17904530000000002</v>
      </c>
      <c r="AG29" s="11" t="s">
        <v>46</v>
      </c>
    </row>
    <row r="30" spans="1:33" x14ac:dyDescent="0.2">
      <c r="A30" s="8">
        <v>7458</v>
      </c>
      <c r="B30" s="9" t="s">
        <v>149</v>
      </c>
      <c r="C30" s="10">
        <v>43437</v>
      </c>
      <c r="D30" s="11">
        <v>10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153</v>
      </c>
      <c r="J30" s="12" t="s">
        <v>154</v>
      </c>
      <c r="K30" s="13" t="s">
        <v>49</v>
      </c>
      <c r="L30" s="11" t="str">
        <f>"000218"</f>
        <v>000218</v>
      </c>
      <c r="M30" s="10">
        <v>42807</v>
      </c>
      <c r="N30" s="11" t="str">
        <f>"000082"</f>
        <v>000082</v>
      </c>
      <c r="O30" s="10">
        <v>42866</v>
      </c>
      <c r="P30" s="11" t="str">
        <f>"000082"</f>
        <v>000082</v>
      </c>
      <c r="Q30" s="10">
        <v>42886</v>
      </c>
      <c r="R30" s="11">
        <v>17</v>
      </c>
      <c r="S30" s="11" t="str">
        <f>"007450"</f>
        <v>007450</v>
      </c>
      <c r="T30" s="10">
        <v>43421</v>
      </c>
      <c r="U30" s="14">
        <v>14.32714</v>
      </c>
      <c r="V30" s="14">
        <v>1.0602100000000001</v>
      </c>
      <c r="W30" s="14">
        <v>13.26693</v>
      </c>
      <c r="X30" s="11">
        <v>279</v>
      </c>
      <c r="Y30" s="10">
        <v>43437</v>
      </c>
      <c r="Z30" s="11">
        <v>9972302032</v>
      </c>
      <c r="AA30" s="12" t="s">
        <v>155</v>
      </c>
      <c r="AB30" s="11" t="s">
        <v>42</v>
      </c>
      <c r="AC30" s="12" t="s">
        <v>43</v>
      </c>
      <c r="AD30" s="11" t="s">
        <v>44</v>
      </c>
      <c r="AE30" s="12" t="s">
        <v>45</v>
      </c>
      <c r="AF30" s="14">
        <f t="shared" si="0"/>
        <v>0.14327139999999999</v>
      </c>
      <c r="AG30" s="11" t="s">
        <v>46</v>
      </c>
    </row>
    <row r="31" spans="1:33" x14ac:dyDescent="0.2">
      <c r="A31" s="8">
        <v>7949</v>
      </c>
      <c r="B31" s="9" t="s">
        <v>149</v>
      </c>
      <c r="C31" s="10">
        <v>43455</v>
      </c>
      <c r="D31" s="11">
        <v>10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156</v>
      </c>
      <c r="J31" s="12" t="s">
        <v>157</v>
      </c>
      <c r="K31" s="13" t="s">
        <v>120</v>
      </c>
      <c r="L31" s="11" t="str">
        <f>"000021"</f>
        <v>000021</v>
      </c>
      <c r="M31" s="10">
        <v>42613</v>
      </c>
      <c r="N31" s="11" t="str">
        <f>"000021"</f>
        <v>000021</v>
      </c>
      <c r="O31" s="10">
        <v>42865</v>
      </c>
      <c r="P31" s="11" t="str">
        <f>"000113"</f>
        <v>000113</v>
      </c>
      <c r="Q31" s="10">
        <v>42886</v>
      </c>
      <c r="R31" s="11">
        <v>16</v>
      </c>
      <c r="S31" s="11" t="str">
        <f>"007708"</f>
        <v>007708</v>
      </c>
      <c r="T31" s="10">
        <v>43441</v>
      </c>
      <c r="U31" s="14">
        <v>4.7962899999999999</v>
      </c>
      <c r="V31" s="14">
        <v>0.31777</v>
      </c>
      <c r="W31" s="14">
        <v>4.4785199999999996</v>
      </c>
      <c r="X31" s="11">
        <v>301</v>
      </c>
      <c r="Y31" s="10">
        <v>43455</v>
      </c>
      <c r="Z31" s="11">
        <v>9845381294</v>
      </c>
      <c r="AA31" s="12" t="s">
        <v>158</v>
      </c>
      <c r="AB31" s="11" t="s">
        <v>42</v>
      </c>
      <c r="AC31" s="12" t="s">
        <v>43</v>
      </c>
      <c r="AD31" s="11" t="s">
        <v>44</v>
      </c>
      <c r="AE31" s="12" t="s">
        <v>45</v>
      </c>
      <c r="AF31" s="14">
        <f t="shared" si="0"/>
        <v>4.7962900000000003E-2</v>
      </c>
      <c r="AG31" s="11" t="s">
        <v>46</v>
      </c>
    </row>
    <row r="32" spans="1:33" x14ac:dyDescent="0.2">
      <c r="A32" s="8">
        <v>7950</v>
      </c>
      <c r="B32" s="9" t="s">
        <v>149</v>
      </c>
      <c r="C32" s="10">
        <v>43455</v>
      </c>
      <c r="D32" s="11">
        <v>10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159</v>
      </c>
      <c r="J32" s="12" t="s">
        <v>160</v>
      </c>
      <c r="K32" s="13" t="s">
        <v>49</v>
      </c>
      <c r="L32" s="11" t="str">
        <f>"000002"</f>
        <v>000002</v>
      </c>
      <c r="M32" s="10">
        <v>42442</v>
      </c>
      <c r="N32" s="11" t="str">
        <f>"000029"</f>
        <v>000029</v>
      </c>
      <c r="O32" s="10">
        <v>42866</v>
      </c>
      <c r="P32" s="11" t="str">
        <f>"000083"</f>
        <v>000083</v>
      </c>
      <c r="Q32" s="10">
        <v>42886</v>
      </c>
      <c r="R32" s="11">
        <v>17</v>
      </c>
      <c r="S32" s="11" t="str">
        <f>"007722"</f>
        <v>007722</v>
      </c>
      <c r="T32" s="10">
        <v>43441</v>
      </c>
      <c r="U32" s="14">
        <v>14.36341</v>
      </c>
      <c r="V32" s="14">
        <v>1.06288</v>
      </c>
      <c r="W32" s="14">
        <v>13.30053</v>
      </c>
      <c r="X32" s="11">
        <v>301</v>
      </c>
      <c r="Y32" s="10">
        <v>43455</v>
      </c>
      <c r="Z32" s="11">
        <v>9880504095</v>
      </c>
      <c r="AA32" s="12" t="s">
        <v>161</v>
      </c>
      <c r="AB32" s="11" t="s">
        <v>42</v>
      </c>
      <c r="AC32" s="12" t="s">
        <v>43</v>
      </c>
      <c r="AD32" s="11" t="s">
        <v>44</v>
      </c>
      <c r="AE32" s="12" t="s">
        <v>45</v>
      </c>
      <c r="AF32" s="14">
        <f t="shared" si="0"/>
        <v>0.14363409999999999</v>
      </c>
      <c r="AG32" s="11" t="s">
        <v>46</v>
      </c>
    </row>
    <row r="33" spans="1:33" x14ac:dyDescent="0.2">
      <c r="A33" s="8">
        <v>8897</v>
      </c>
      <c r="B33" s="9" t="s">
        <v>162</v>
      </c>
      <c r="C33" s="10">
        <v>43497</v>
      </c>
      <c r="D33" s="11">
        <v>10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163</v>
      </c>
      <c r="J33" s="12" t="s">
        <v>164</v>
      </c>
      <c r="K33" s="13" t="s">
        <v>165</v>
      </c>
      <c r="L33" s="11" t="str">
        <f>"000081"</f>
        <v>000081</v>
      </c>
      <c r="M33" s="10">
        <v>42909</v>
      </c>
      <c r="N33" s="11" t="str">
        <f>"000023"</f>
        <v>000023</v>
      </c>
      <c r="O33" s="10">
        <v>43059</v>
      </c>
      <c r="P33" s="11" t="str">
        <f>"000089"</f>
        <v>000089</v>
      </c>
      <c r="Q33" s="10">
        <v>43130</v>
      </c>
      <c r="R33" s="11"/>
      <c r="S33" s="11" t="str">
        <f>"008645"</f>
        <v>008645</v>
      </c>
      <c r="T33" s="10">
        <v>43472</v>
      </c>
      <c r="U33" s="14">
        <v>6.7803800000000001</v>
      </c>
      <c r="V33" s="14">
        <v>0.14238000000000001</v>
      </c>
      <c r="W33" s="14">
        <v>6.6379999999999999</v>
      </c>
      <c r="X33" s="11">
        <v>336</v>
      </c>
      <c r="Y33" s="10">
        <v>43497</v>
      </c>
      <c r="Z33" s="11">
        <v>9980915550</v>
      </c>
      <c r="AA33" s="12" t="s">
        <v>166</v>
      </c>
      <c r="AB33" s="11" t="s">
        <v>122</v>
      </c>
      <c r="AC33" s="12" t="s">
        <v>123</v>
      </c>
      <c r="AD33" s="11" t="s">
        <v>44</v>
      </c>
      <c r="AE33" s="12" t="s">
        <v>45</v>
      </c>
      <c r="AF33" s="14">
        <f t="shared" si="0"/>
        <v>6.7803799999999997E-2</v>
      </c>
      <c r="AG33" s="11" t="s">
        <v>46</v>
      </c>
    </row>
    <row r="34" spans="1:33" x14ac:dyDescent="0.2">
      <c r="A34" s="8">
        <v>9163</v>
      </c>
      <c r="B34" s="9" t="s">
        <v>162</v>
      </c>
      <c r="C34" s="10">
        <v>43508</v>
      </c>
      <c r="D34" s="11">
        <v>10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167</v>
      </c>
      <c r="J34" s="12" t="s">
        <v>168</v>
      </c>
      <c r="K34" s="13" t="s">
        <v>49</v>
      </c>
      <c r="L34" s="11" t="str">
        <f>"000195"</f>
        <v>000195</v>
      </c>
      <c r="M34" s="10">
        <v>42403</v>
      </c>
      <c r="N34" s="11" t="str">
        <f>""</f>
        <v/>
      </c>
      <c r="O34" s="10"/>
      <c r="P34" s="11" t="str">
        <f>""</f>
        <v/>
      </c>
      <c r="Q34" s="10"/>
      <c r="R34" s="11"/>
      <c r="S34" s="11" t="str">
        <f>""</f>
        <v/>
      </c>
      <c r="T34" s="10"/>
      <c r="U34" s="14">
        <v>33.0657</v>
      </c>
      <c r="V34" s="14">
        <v>2.3807499999999999</v>
      </c>
      <c r="W34" s="14">
        <v>30.684950000000001</v>
      </c>
      <c r="X34" s="11">
        <v>349</v>
      </c>
      <c r="Y34" s="10">
        <v>43508</v>
      </c>
      <c r="Z34" s="11">
        <v>9845507797</v>
      </c>
      <c r="AA34" s="12" t="s">
        <v>169</v>
      </c>
      <c r="AB34" s="11" t="s">
        <v>64</v>
      </c>
      <c r="AC34" s="12" t="s">
        <v>65</v>
      </c>
      <c r="AD34" s="11" t="s">
        <v>44</v>
      </c>
      <c r="AE34" s="12" t="s">
        <v>45</v>
      </c>
      <c r="AF34" s="14">
        <f t="shared" si="0"/>
        <v>0.33065699999999998</v>
      </c>
      <c r="AG34" s="11" t="s">
        <v>46</v>
      </c>
    </row>
    <row r="35" spans="1:33" x14ac:dyDescent="0.2">
      <c r="A35" s="8">
        <v>9266</v>
      </c>
      <c r="B35" s="9" t="s">
        <v>162</v>
      </c>
      <c r="C35" s="10">
        <v>43521</v>
      </c>
      <c r="D35" s="11">
        <v>10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142</v>
      </c>
      <c r="J35" s="12" t="s">
        <v>143</v>
      </c>
      <c r="K35" s="13" t="s">
        <v>91</v>
      </c>
      <c r="L35" s="11" t="str">
        <f>"000008"</f>
        <v>000008</v>
      </c>
      <c r="M35" s="10">
        <v>42095</v>
      </c>
      <c r="N35" s="11" t="str">
        <f>"000247"</f>
        <v>000247</v>
      </c>
      <c r="O35" s="10">
        <v>42369</v>
      </c>
      <c r="P35" s="11" t="str">
        <f>"000424"</f>
        <v>000424</v>
      </c>
      <c r="Q35" s="10">
        <v>42369</v>
      </c>
      <c r="R35" s="11"/>
      <c r="S35" s="11" t="str">
        <f>"000087"</f>
        <v>000087</v>
      </c>
      <c r="T35" s="10">
        <v>42831</v>
      </c>
      <c r="U35" s="14">
        <v>7.32</v>
      </c>
      <c r="V35" s="14">
        <v>0.73199999999999998</v>
      </c>
      <c r="W35" s="14">
        <v>6.5880000000000001</v>
      </c>
      <c r="X35" s="11">
        <v>358</v>
      </c>
      <c r="Y35" s="10">
        <v>43521</v>
      </c>
      <c r="Z35" s="11">
        <v>8042472233</v>
      </c>
      <c r="AA35" s="12" t="s">
        <v>170</v>
      </c>
      <c r="AB35" s="11" t="s">
        <v>145</v>
      </c>
      <c r="AC35" s="12" t="s">
        <v>146</v>
      </c>
      <c r="AD35" s="11" t="s">
        <v>147</v>
      </c>
      <c r="AE35" s="12" t="s">
        <v>148</v>
      </c>
      <c r="AF35" s="14">
        <f t="shared" si="0"/>
        <v>7.3200000000000001E-2</v>
      </c>
      <c r="AG35" s="11" t="s">
        <v>46</v>
      </c>
    </row>
    <row r="36" spans="1:33" x14ac:dyDescent="0.2">
      <c r="A36" s="8">
        <v>9905</v>
      </c>
      <c r="B36" s="9" t="s">
        <v>171</v>
      </c>
      <c r="C36" s="10">
        <v>43552</v>
      </c>
      <c r="D36" s="11">
        <v>10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172</v>
      </c>
      <c r="J36" s="12" t="s">
        <v>173</v>
      </c>
      <c r="K36" s="13" t="s">
        <v>49</v>
      </c>
      <c r="L36" s="11" t="str">
        <f>"000009"</f>
        <v>000009</v>
      </c>
      <c r="M36" s="10">
        <v>42830</v>
      </c>
      <c r="N36" s="11" t="str">
        <f>"000070"</f>
        <v>000070</v>
      </c>
      <c r="O36" s="10">
        <v>42913</v>
      </c>
      <c r="P36" s="11" t="str">
        <f>"000150"</f>
        <v>000150</v>
      </c>
      <c r="Q36" s="10">
        <v>42916</v>
      </c>
      <c r="R36" s="11"/>
      <c r="S36" s="11" t="str">
        <f>"009911"</f>
        <v>009911</v>
      </c>
      <c r="T36" s="10">
        <v>43549</v>
      </c>
      <c r="U36" s="14">
        <v>18.249420000000001</v>
      </c>
      <c r="V36" s="14">
        <v>1.3504499999999999</v>
      </c>
      <c r="W36" s="14">
        <v>16.898969999999998</v>
      </c>
      <c r="X36" s="11">
        <v>388</v>
      </c>
      <c r="Y36" s="10">
        <v>43552</v>
      </c>
      <c r="Z36" s="11">
        <v>9845818296</v>
      </c>
      <c r="AA36" s="12" t="s">
        <v>127</v>
      </c>
      <c r="AB36" s="11" t="s">
        <v>42</v>
      </c>
      <c r="AC36" s="12" t="s">
        <v>43</v>
      </c>
      <c r="AD36" s="11" t="s">
        <v>44</v>
      </c>
      <c r="AE36" s="12" t="s">
        <v>45</v>
      </c>
      <c r="AF36" s="14">
        <f t="shared" si="0"/>
        <v>0.1824942</v>
      </c>
      <c r="AG36" s="11" t="s">
        <v>46</v>
      </c>
    </row>
    <row r="37" spans="1:33" x14ac:dyDescent="0.2">
      <c r="A37" s="8">
        <v>9907</v>
      </c>
      <c r="B37" s="9" t="s">
        <v>171</v>
      </c>
      <c r="C37" s="10">
        <v>43552</v>
      </c>
      <c r="D37" s="11">
        <v>10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174</v>
      </c>
      <c r="J37" s="12" t="s">
        <v>175</v>
      </c>
      <c r="K37" s="13" t="s">
        <v>49</v>
      </c>
      <c r="L37" s="11" t="str">
        <f>"000005"</f>
        <v>000005</v>
      </c>
      <c r="M37" s="10">
        <v>42830</v>
      </c>
      <c r="N37" s="11" t="str">
        <f>"000072"</f>
        <v>000072</v>
      </c>
      <c r="O37" s="10">
        <v>42913</v>
      </c>
      <c r="P37" s="11" t="str">
        <f>"000151"</f>
        <v>000151</v>
      </c>
      <c r="Q37" s="10">
        <v>42916</v>
      </c>
      <c r="R37" s="11"/>
      <c r="S37" s="11" t="str">
        <f>"009913"</f>
        <v>009913</v>
      </c>
      <c r="T37" s="10">
        <v>43549</v>
      </c>
      <c r="U37" s="14">
        <v>18.08024</v>
      </c>
      <c r="V37" s="14">
        <v>1.3379300000000001</v>
      </c>
      <c r="W37" s="14">
        <v>16.74231</v>
      </c>
      <c r="X37" s="11">
        <v>388</v>
      </c>
      <c r="Y37" s="10">
        <v>43552</v>
      </c>
      <c r="Z37" s="11">
        <v>9845818296</v>
      </c>
      <c r="AA37" s="12" t="s">
        <v>127</v>
      </c>
      <c r="AB37" s="11" t="s">
        <v>42</v>
      </c>
      <c r="AC37" s="12" t="s">
        <v>43</v>
      </c>
      <c r="AD37" s="11" t="s">
        <v>44</v>
      </c>
      <c r="AE37" s="12" t="s">
        <v>45</v>
      </c>
      <c r="AF37" s="14">
        <f t="shared" si="0"/>
        <v>0.1808024</v>
      </c>
      <c r="AG37" s="11" t="s">
        <v>46</v>
      </c>
    </row>
    <row r="38" spans="1:33" x14ac:dyDescent="0.2">
      <c r="A38" s="8">
        <v>9908</v>
      </c>
      <c r="B38" s="9" t="s">
        <v>171</v>
      </c>
      <c r="C38" s="10">
        <v>43552</v>
      </c>
      <c r="D38" s="11">
        <v>10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176</v>
      </c>
      <c r="J38" s="12" t="s">
        <v>177</v>
      </c>
      <c r="K38" s="13" t="s">
        <v>40</v>
      </c>
      <c r="L38" s="11" t="str">
        <f>"000006"</f>
        <v>000006</v>
      </c>
      <c r="M38" s="10">
        <v>42830</v>
      </c>
      <c r="N38" s="11" t="str">
        <f>"000170"</f>
        <v>000170</v>
      </c>
      <c r="O38" s="10">
        <v>42913</v>
      </c>
      <c r="P38" s="11" t="str">
        <f>"000152"</f>
        <v>000152</v>
      </c>
      <c r="Q38" s="10">
        <v>42916</v>
      </c>
      <c r="R38" s="11"/>
      <c r="S38" s="11" t="str">
        <f>"009914"</f>
        <v>009914</v>
      </c>
      <c r="T38" s="10">
        <v>43549</v>
      </c>
      <c r="U38" s="14">
        <v>8.9975000000000005</v>
      </c>
      <c r="V38" s="14">
        <v>0.62983999999999996</v>
      </c>
      <c r="W38" s="14">
        <v>8.3676600000000008</v>
      </c>
      <c r="X38" s="11">
        <v>388</v>
      </c>
      <c r="Y38" s="10">
        <v>43552</v>
      </c>
      <c r="Z38" s="11">
        <v>9845818296</v>
      </c>
      <c r="AA38" s="12" t="s">
        <v>127</v>
      </c>
      <c r="AB38" s="11" t="s">
        <v>42</v>
      </c>
      <c r="AC38" s="12" t="s">
        <v>43</v>
      </c>
      <c r="AD38" s="11" t="s">
        <v>44</v>
      </c>
      <c r="AE38" s="12" t="s">
        <v>45</v>
      </c>
      <c r="AF38" s="14">
        <f t="shared" si="0"/>
        <v>8.9974999999999999E-2</v>
      </c>
      <c r="AG38" s="11" t="s">
        <v>46</v>
      </c>
    </row>
    <row r="39" spans="1:33" x14ac:dyDescent="0.2">
      <c r="A39" s="8">
        <v>9913</v>
      </c>
      <c r="B39" s="9" t="s">
        <v>171</v>
      </c>
      <c r="C39" s="10">
        <v>43552</v>
      </c>
      <c r="D39" s="11">
        <v>10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178</v>
      </c>
      <c r="J39" s="12" t="s">
        <v>179</v>
      </c>
      <c r="K39" s="13" t="s">
        <v>49</v>
      </c>
      <c r="L39" s="11" t="str">
        <f>"000011"</f>
        <v>000011</v>
      </c>
      <c r="M39" s="10">
        <v>42830</v>
      </c>
      <c r="N39" s="11" t="str">
        <f>"000071"</f>
        <v>000071</v>
      </c>
      <c r="O39" s="10">
        <v>42913</v>
      </c>
      <c r="P39" s="11" t="str">
        <f>"000153"</f>
        <v>000153</v>
      </c>
      <c r="Q39" s="10">
        <v>42916</v>
      </c>
      <c r="R39" s="11"/>
      <c r="S39" s="11" t="str">
        <f>"009919"</f>
        <v>009919</v>
      </c>
      <c r="T39" s="10">
        <v>43549</v>
      </c>
      <c r="U39" s="14">
        <v>17.971080000000001</v>
      </c>
      <c r="V39" s="14">
        <v>1.32985</v>
      </c>
      <c r="W39" s="14">
        <v>16.64123</v>
      </c>
      <c r="X39" s="11">
        <v>388</v>
      </c>
      <c r="Y39" s="10">
        <v>43552</v>
      </c>
      <c r="Z39" s="11">
        <v>9845818296</v>
      </c>
      <c r="AA39" s="12" t="s">
        <v>127</v>
      </c>
      <c r="AB39" s="11" t="s">
        <v>42</v>
      </c>
      <c r="AC39" s="12" t="s">
        <v>43</v>
      </c>
      <c r="AD39" s="11" t="s">
        <v>44</v>
      </c>
      <c r="AE39" s="12" t="s">
        <v>45</v>
      </c>
      <c r="AF39" s="14">
        <f t="shared" si="0"/>
        <v>0.1797108</v>
      </c>
      <c r="AG39" s="11" t="s">
        <v>46</v>
      </c>
    </row>
    <row r="40" spans="1:33" x14ac:dyDescent="0.2">
      <c r="A40" s="8">
        <v>9914</v>
      </c>
      <c r="B40" s="9" t="s">
        <v>171</v>
      </c>
      <c r="C40" s="10">
        <v>43552</v>
      </c>
      <c r="D40" s="11">
        <v>10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180</v>
      </c>
      <c r="J40" s="12" t="s">
        <v>181</v>
      </c>
      <c r="K40" s="13" t="s">
        <v>49</v>
      </c>
      <c r="L40" s="11" t="str">
        <f>"000007"</f>
        <v>000007</v>
      </c>
      <c r="M40" s="10">
        <v>42830</v>
      </c>
      <c r="N40" s="11" t="str">
        <f>"000069"</f>
        <v>000069</v>
      </c>
      <c r="O40" s="10">
        <v>42913</v>
      </c>
      <c r="P40" s="11" t="str">
        <f>"000155"</f>
        <v>000155</v>
      </c>
      <c r="Q40" s="10">
        <v>42916</v>
      </c>
      <c r="R40" s="11"/>
      <c r="S40" s="11" t="str">
        <f>"009920"</f>
        <v>009920</v>
      </c>
      <c r="T40" s="10">
        <v>43549</v>
      </c>
      <c r="U40" s="14">
        <v>22.801100000000002</v>
      </c>
      <c r="V40" s="14">
        <v>1.68727</v>
      </c>
      <c r="W40" s="14">
        <v>21.11383</v>
      </c>
      <c r="X40" s="11">
        <v>388</v>
      </c>
      <c r="Y40" s="10">
        <v>43552</v>
      </c>
      <c r="Z40" s="11">
        <v>9845818296</v>
      </c>
      <c r="AA40" s="12" t="s">
        <v>127</v>
      </c>
      <c r="AB40" s="11" t="s">
        <v>42</v>
      </c>
      <c r="AC40" s="12" t="s">
        <v>43</v>
      </c>
      <c r="AD40" s="11" t="s">
        <v>44</v>
      </c>
      <c r="AE40" s="12" t="s">
        <v>45</v>
      </c>
      <c r="AF40" s="14">
        <f t="shared" si="0"/>
        <v>0.22801100000000002</v>
      </c>
      <c r="AG40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2019-06-12T10:57:58Z</dcterms:modified>
</cp:coreProperties>
</file>