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1" i="1" l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<sst xmlns="http://schemas.openxmlformats.org/spreadsheetml/2006/main" count="593" uniqueCount="166">
  <si>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</si>
  <si>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</si>
  <si>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</si>
  <si>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</si>
  <si>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</si>
  <si>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</si>
  <si>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</si>
  <si>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</si>
  <si>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</si>
  <si>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</si>
  <si>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</si>
  <si>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</si>
  <si>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</si>
  <si>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</si>
  <si>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</si>
  <si>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</si>
  <si>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</si>
  <si>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</si>
  <si>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</si>
  <si>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</si>
  <si>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</si>
  <si>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</si>
  <si>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</si>
  <si>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</si>
  <si>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</si>
  <si>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</si>
  <si>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</si>
  <si>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</si>
  <si>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</si>
  <si>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</si>
  <si>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</si>
  <si>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</si>
  <si>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</si>
  <si>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</si>
  <si>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Chikka Pete</t>
  </si>
  <si>
    <t>Gandhi Nagara</t>
  </si>
  <si>
    <t>West</t>
  </si>
  <si>
    <t>109-13-000011</t>
  </si>
  <si>
    <t xml:space="preserve">Providing interlocking CC pavers at Papanna lane and cross roads. </t>
  </si>
  <si>
    <t>Other Ward Works</t>
  </si>
  <si>
    <t>Aishwarya Infrastrucure and Developers</t>
  </si>
  <si>
    <t>P1771</t>
  </si>
  <si>
    <t>Zone Works - POW Works</t>
  </si>
  <si>
    <t>ddo204</t>
  </si>
  <si>
    <t xml:space="preserve"> Assistant Executive Engineer Chickpet West Zone</t>
  </si>
  <si>
    <t>Pending</t>
  </si>
  <si>
    <t>109-13-000012</t>
  </si>
  <si>
    <t xml:space="preserve">Providing interlocking CC pavers at R.T.Street cross roads. </t>
  </si>
  <si>
    <t>109-13-000013</t>
  </si>
  <si>
    <t xml:space="preserve">Providing interlocking CC pavers at Siddanna lane and cross roads. </t>
  </si>
  <si>
    <t>109-16-000013</t>
  </si>
  <si>
    <t>Providing Cement Concrete Road for PS Lane and Surrounding Area In Chickpet In Ward-109</t>
  </si>
  <si>
    <t>Roads &amp; Drivablility</t>
  </si>
  <si>
    <t>109-15-000009</t>
  </si>
  <si>
    <t xml:space="preserve">Cement Concrete roads at Huriyopet and Surroundings area In Ward-109 </t>
  </si>
  <si>
    <t>N Sampath Kumar</t>
  </si>
  <si>
    <t>109-15-000010</t>
  </si>
  <si>
    <t xml:space="preserve">Cement Concrete roads at R T Street and Surrounding area In Ward-109 </t>
  </si>
  <si>
    <t>N Sampth Kumar</t>
  </si>
  <si>
    <t>109-15-000011</t>
  </si>
  <si>
    <t xml:space="preserve">Cement Concrete Roads at Santhoshpet and Surrounding Area In ward-109 </t>
  </si>
  <si>
    <t>May</t>
  </si>
  <si>
    <t>109-16-000006</t>
  </si>
  <si>
    <t>Filling up of Potholes and Road Cuttings In Chickpet Area In Ward-109</t>
  </si>
  <si>
    <t>Technical Manager KRIDL West</t>
  </si>
  <si>
    <t>June</t>
  </si>
  <si>
    <t>109-15-000016</t>
  </si>
  <si>
    <t xml:space="preserve">Maintanance of Ward for First Shift in Chickpet In Ward-109 </t>
  </si>
  <si>
    <t>S Chandra Mohan</t>
  </si>
  <si>
    <t>109-17-000002</t>
  </si>
  <si>
    <t>Filling of Cement Concrete Pot Holes in Ward No. 109</t>
  </si>
  <si>
    <t>M Jayanth Kumar</t>
  </si>
  <si>
    <t>109-17-000003</t>
  </si>
  <si>
    <t>Filling of Asphalt Pot Holes in Ward No. 109</t>
  </si>
  <si>
    <t>July</t>
  </si>
  <si>
    <t>109-16-000017</t>
  </si>
  <si>
    <t>Providing Cement Concrete Road for Cubbonpet and Surrounding Area In Chickpete In Ward-109</t>
  </si>
  <si>
    <t>B N Naveen Kumar</t>
  </si>
  <si>
    <t>P1802</t>
  </si>
  <si>
    <t>Water Supply New Areas</t>
  </si>
  <si>
    <t>109-14-000024</t>
  </si>
  <si>
    <t xml:space="preserve">Providing drains at BVK Iyenger Road In Ward-109 </t>
  </si>
  <si>
    <t>Footpaths &amp; Walkability</t>
  </si>
  <si>
    <t>P2434</t>
  </si>
  <si>
    <t>Development works for Bangalore City</t>
  </si>
  <si>
    <t>August</t>
  </si>
  <si>
    <t>109-16-000015</t>
  </si>
  <si>
    <t>Providing Cement Concrete Road for Uattaradi Matt and Surrounding Area In Chickpet In Ward-109</t>
  </si>
  <si>
    <t>109-16-000004</t>
  </si>
  <si>
    <t>Emergency Grants in ward no 109</t>
  </si>
  <si>
    <t>September</t>
  </si>
  <si>
    <t>109-16-000018</t>
  </si>
  <si>
    <t>Supplying of Electric poles and equipments in ward no 109</t>
  </si>
  <si>
    <t>Sri Gayathri Electricals</t>
  </si>
  <si>
    <t>ddo209</t>
  </si>
  <si>
    <t xml:space="preserve"> Assistant Executive Engineer Electrical West Zone</t>
  </si>
  <si>
    <t>109-17-000016</t>
  </si>
  <si>
    <t>Providing Rain Water Harvesting to Dummy Borewells in Ward No. 109</t>
  </si>
  <si>
    <t>Rain Water Harvestin</t>
  </si>
  <si>
    <t>Satish Kumar</t>
  </si>
  <si>
    <t>October</t>
  </si>
  <si>
    <t>109-18-000016</t>
  </si>
  <si>
    <t xml:space="preserve">Providing Cement Concrete to Main Road and Cross Roads of Balepete in Ward No 109 </t>
  </si>
  <si>
    <t>Technical Manager  (West) Karnataka Rural Infrastructure Development Limited</t>
  </si>
  <si>
    <t>P3158</t>
  </si>
  <si>
    <t>SIP Infrastructure Project works</t>
  </si>
  <si>
    <t>Current</t>
  </si>
  <si>
    <t>109-18-000015</t>
  </si>
  <si>
    <t xml:space="preserve">Providing and Asphalting and Improvements to B V K Ayyengar Road in Ward No 109 </t>
  </si>
  <si>
    <t>109-18-000017</t>
  </si>
  <si>
    <t xml:space="preserve">Providing Cement Concrete to Main Road Cross Roads of Cubbonpete in Ward No 109 </t>
  </si>
  <si>
    <t>109-17-000012</t>
  </si>
  <si>
    <t>Improvements to Concrete Road at G.K Temple Street and Surrounding Area in Ward No. 109</t>
  </si>
  <si>
    <t>S T Umesh</t>
  </si>
  <si>
    <t>109-17-000013</t>
  </si>
  <si>
    <t>Providing Cement Concrete roads to Cubbonpet Surrounding Area in Ward No. 109</t>
  </si>
  <si>
    <t>109-17-000007</t>
  </si>
  <si>
    <t>Improvements to Balepet Main Road in Ward No. 109</t>
  </si>
  <si>
    <t>109-17-000009</t>
  </si>
  <si>
    <t>Improvements to Footpath in Akkipet Main Road in Ward No. 109</t>
  </si>
  <si>
    <t>109-17-000011</t>
  </si>
  <si>
    <t>Improvement to Drain in Sowrashtrapet Area in Ward No. 109</t>
  </si>
  <si>
    <t>109-18-000014</t>
  </si>
  <si>
    <t xml:space="preserve">Estimate for site Formation for construction of Indira Canteen in Ward No 109 </t>
  </si>
  <si>
    <t>Indira Canteen</t>
  </si>
  <si>
    <t>P3106</t>
  </si>
  <si>
    <t>Nagarothana Works</t>
  </si>
  <si>
    <t>December</t>
  </si>
  <si>
    <t>109-16-000005</t>
  </si>
  <si>
    <t>Filling of Potholes In BVK Iyengar Road and Avenue Road In Ward-109</t>
  </si>
  <si>
    <t>109-17-000019</t>
  </si>
  <si>
    <t xml:space="preserve">Providing and fixing of LED Street lights in Ward No 109 in Gandhinagar Division </t>
  </si>
  <si>
    <t>Executive Engineer 2 KRIDL</t>
  </si>
  <si>
    <t>P3110</t>
  </si>
  <si>
    <t>14th Finance Commission Grant Works</t>
  </si>
  <si>
    <t>109-17-000010</t>
  </si>
  <si>
    <t>Removing and Resetting the Cement Concrete Cobble Stone in Ward No. 109</t>
  </si>
  <si>
    <t>109-17-000015</t>
  </si>
  <si>
    <t>Providing HDD Method Drain in Concrete Road in Ward No. 109</t>
  </si>
  <si>
    <t>109-17-000008</t>
  </si>
  <si>
    <t>Improvements to Drain in Old Tharagupete and Sultanpet Main Road in Ward No. 109</t>
  </si>
  <si>
    <t>109-17-000022</t>
  </si>
  <si>
    <t>Providing CC Camera in ward no 109</t>
  </si>
  <si>
    <t>Crime &amp; Safety</t>
  </si>
  <si>
    <t>Executive Engineer 1 KRIDL</t>
  </si>
  <si>
    <t>January</t>
  </si>
  <si>
    <t>109-17-000021</t>
  </si>
  <si>
    <t>Engaging of gangman and Hiring of tractor -tipper for Maintenance of Roads side drain and other civil works in ward no 109</t>
  </si>
  <si>
    <t>March</t>
  </si>
  <si>
    <t>109-17-000018</t>
  </si>
  <si>
    <t xml:space="preserve">Providing drinking water works in Ward No 109 in Gandhinagar Division </t>
  </si>
  <si>
    <t>Drinking Water</t>
  </si>
  <si>
    <t>Technical Manager (WEST) KRIDL</t>
  </si>
  <si>
    <t>109-19-000001</t>
  </si>
  <si>
    <t>Providing and Improvements to Cement Concrete road and Improvements to drain Culverts in Sulthanpet and surroundings in ward no 109</t>
  </si>
  <si>
    <t>P3111</t>
  </si>
  <si>
    <t>State Finance Commission Untied Grant Works</t>
  </si>
  <si>
    <t>109-19-000002</t>
  </si>
  <si>
    <t>Providing and Improvements to Cement Concrete road drain culverts and footpath in Taragupe Sowrarashtrapete t and surroundings in ward no 109</t>
  </si>
  <si>
    <t>109-19-000004</t>
  </si>
  <si>
    <t>Providing CC road and other Improvements to Mamulpete Colony in ward no 109</t>
  </si>
  <si>
    <t>TTechnical Manager  (West) Karnataka Rural Infrastructure Development Limited</t>
  </si>
  <si>
    <t>P3409</t>
  </si>
  <si>
    <t>SFC Untied SC-SP/TSP Grant works</t>
  </si>
  <si>
    <t>109-19-000003</t>
  </si>
  <si>
    <t>Providing Cement Concrete road and Improvements to drain culverts and Footpath in PS lane in ward no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</si>
</sst>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pane ySplit="1" topLeftCell="A2" activePane="bottomLeft" state="frozen"/>
      <selection activeCell="H1" sqref="H1"/>
      <selection pane="bottomLeft" activeCell="A2" sqref="A2:XFD4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634</v>
      </c>
      <c r="B2" s="9" t="s">
        <v>33</v>
      </c>
      <c r="C2" s="10">
        <v>43214</v>
      </c>
      <c r="D2" s="11">
        <v>109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"000557"</f>
        <v>000557</v>
      </c>
      <c r="M2" s="10">
        <v>41466</v>
      </c>
      <c r="N2" s="11" t="str">
        <f>"000.45"</f>
        <v>000.45</v>
      </c>
      <c r="O2" s="10">
        <v>42520</v>
      </c>
      <c r="P2" s="11" t="str">
        <f>"000130"</f>
        <v>000130</v>
      </c>
      <c r="Q2" s="10">
        <v>42520</v>
      </c>
      <c r="R2" s="11">
        <v>13</v>
      </c>
      <c r="S2" s="11" t="str">
        <f>"000539"</f>
        <v>000539</v>
      </c>
      <c r="T2" s="10">
        <v>43203</v>
      </c>
      <c r="U2" s="14">
        <v>19.000579999999999</v>
      </c>
      <c r="V2" s="14">
        <v>2.5540600000000002</v>
      </c>
      <c r="W2" s="14">
        <v>16.44652</v>
      </c>
      <c r="X2" s="11">
        <v>23</v>
      </c>
      <c r="Y2" s="10">
        <v>43214</v>
      </c>
      <c r="Z2" s="11">
        <v>9945417770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0.1900058</v>
      </c>
      <c r="AG2" s="11" t="s">
        <v>45</v>
      </c>
    </row>
    <row r="3" spans="1:33" x14ac:dyDescent="0.2">
      <c r="A3" s="8">
        <v>635</v>
      </c>
      <c r="B3" s="9" t="s">
        <v>33</v>
      </c>
      <c r="C3" s="10">
        <v>43214</v>
      </c>
      <c r="D3" s="11">
        <v>109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"000556"</f>
        <v>000556</v>
      </c>
      <c r="M3" s="10">
        <v>41466</v>
      </c>
      <c r="N3" s="11" t="str">
        <f>"000.02"</f>
        <v>000.02</v>
      </c>
      <c r="O3" s="10">
        <v>42520</v>
      </c>
      <c r="P3" s="11" t="str">
        <f>"000131"</f>
        <v>000131</v>
      </c>
      <c r="Q3" s="10">
        <v>42520</v>
      </c>
      <c r="R3" s="11">
        <v>13</v>
      </c>
      <c r="S3" s="11" t="str">
        <f>"000540"</f>
        <v>000540</v>
      </c>
      <c r="T3" s="10">
        <v>43203</v>
      </c>
      <c r="U3" s="14">
        <v>19.00009</v>
      </c>
      <c r="V3" s="14">
        <v>2.544</v>
      </c>
      <c r="W3" s="14">
        <v>16.45609</v>
      </c>
      <c r="X3" s="11">
        <v>23</v>
      </c>
      <c r="Y3" s="10">
        <v>43214</v>
      </c>
      <c r="Z3" s="11">
        <v>9945417770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0.1900009</v>
      </c>
      <c r="AG3" s="11" t="s">
        <v>45</v>
      </c>
    </row>
    <row r="4" spans="1:33" x14ac:dyDescent="0.2">
      <c r="A4" s="8">
        <v>636</v>
      </c>
      <c r="B4" s="9" t="s">
        <v>33</v>
      </c>
      <c r="C4" s="10">
        <v>43214</v>
      </c>
      <c r="D4" s="11">
        <v>109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"000134"</f>
        <v>000134</v>
      </c>
      <c r="M4" s="10">
        <v>41466</v>
      </c>
      <c r="N4" s="11" t="str">
        <f>"00.048"</f>
        <v>00.048</v>
      </c>
      <c r="O4" s="10">
        <v>42520</v>
      </c>
      <c r="P4" s="11" t="str">
        <f>"000134"</f>
        <v>000134</v>
      </c>
      <c r="Q4" s="10">
        <v>42520</v>
      </c>
      <c r="R4" s="11">
        <v>13</v>
      </c>
      <c r="S4" s="11" t="str">
        <f>"000541"</f>
        <v>000541</v>
      </c>
      <c r="T4" s="10">
        <v>43203</v>
      </c>
      <c r="U4" s="14">
        <v>19.000299999999999</v>
      </c>
      <c r="V4" s="14">
        <v>2.5565199999999999</v>
      </c>
      <c r="W4" s="14">
        <v>16.44378</v>
      </c>
      <c r="X4" s="11">
        <v>23</v>
      </c>
      <c r="Y4" s="10">
        <v>43214</v>
      </c>
      <c r="Z4" s="11">
        <v>9945417770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0.19000300000000001</v>
      </c>
      <c r="AG4" s="11" t="s">
        <v>45</v>
      </c>
    </row>
    <row r="5" spans="1:33" x14ac:dyDescent="0.2">
      <c r="A5" s="8">
        <v>637</v>
      </c>
      <c r="B5" s="9" t="s">
        <v>33</v>
      </c>
      <c r="C5" s="10">
        <v>43214</v>
      </c>
      <c r="D5" s="11">
        <v>109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50</v>
      </c>
      <c r="J5" s="12" t="s">
        <v>51</v>
      </c>
      <c r="K5" s="13" t="s">
        <v>52</v>
      </c>
      <c r="L5" s="11" t="str">
        <f>"000151"</f>
        <v>000151</v>
      </c>
      <c r="M5" s="10">
        <v>42488</v>
      </c>
      <c r="N5" s="11" t="str">
        <f>"000.04"</f>
        <v>000.04</v>
      </c>
      <c r="O5" s="10">
        <v>42520</v>
      </c>
      <c r="P5" s="11" t="str">
        <f>"000141"</f>
        <v>000141</v>
      </c>
      <c r="Q5" s="10">
        <v>42520</v>
      </c>
      <c r="R5" s="11">
        <v>16</v>
      </c>
      <c r="S5" s="11" t="str">
        <f>"000542"</f>
        <v>000542</v>
      </c>
      <c r="T5" s="10">
        <v>43203</v>
      </c>
      <c r="U5" s="14">
        <v>5.6664599999999998</v>
      </c>
      <c r="V5" s="14">
        <v>0.74180000000000001</v>
      </c>
      <c r="W5" s="14">
        <v>4.9246600000000003</v>
      </c>
      <c r="X5" s="11">
        <v>23</v>
      </c>
      <c r="Y5" s="10">
        <v>43214</v>
      </c>
      <c r="Z5" s="11">
        <v>9945417770</v>
      </c>
      <c r="AA5" s="12" t="s">
        <v>40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5.6664599999999996E-2</v>
      </c>
      <c r="AG5" s="11" t="s">
        <v>45</v>
      </c>
    </row>
    <row r="6" spans="1:33" x14ac:dyDescent="0.2">
      <c r="A6" s="8">
        <v>638</v>
      </c>
      <c r="B6" s="9" t="s">
        <v>33</v>
      </c>
      <c r="C6" s="10">
        <v>43214</v>
      </c>
      <c r="D6" s="11">
        <v>109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53</v>
      </c>
      <c r="J6" s="12" t="s">
        <v>54</v>
      </c>
      <c r="K6" s="13" t="s">
        <v>52</v>
      </c>
      <c r="L6" s="11" t="str">
        <f>"000049"</f>
        <v>000049</v>
      </c>
      <c r="M6" s="10">
        <v>42111</v>
      </c>
      <c r="N6" s="11" t="str">
        <f>"000.19"</f>
        <v>000.19</v>
      </c>
      <c r="O6" s="10">
        <v>42520</v>
      </c>
      <c r="P6" s="11" t="str">
        <f>"000146"</f>
        <v>000146</v>
      </c>
      <c r="Q6" s="10">
        <v>42520</v>
      </c>
      <c r="R6" s="11">
        <v>15</v>
      </c>
      <c r="S6" s="11" t="str">
        <f>"000543"</f>
        <v>000543</v>
      </c>
      <c r="T6" s="10">
        <v>43203</v>
      </c>
      <c r="U6" s="14">
        <v>14.69659</v>
      </c>
      <c r="V6" s="14">
        <v>1.84518</v>
      </c>
      <c r="W6" s="14">
        <v>12.85141</v>
      </c>
      <c r="X6" s="11">
        <v>23</v>
      </c>
      <c r="Y6" s="10">
        <v>43214</v>
      </c>
      <c r="Z6" s="11">
        <v>1234567890</v>
      </c>
      <c r="AA6" s="12" t="s">
        <v>55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0.14696590000000001</v>
      </c>
      <c r="AG6" s="11" t="s">
        <v>45</v>
      </c>
    </row>
    <row r="7" spans="1:33" x14ac:dyDescent="0.2">
      <c r="A7" s="8">
        <v>639</v>
      </c>
      <c r="B7" s="9" t="s">
        <v>33</v>
      </c>
      <c r="C7" s="10">
        <v>43214</v>
      </c>
      <c r="D7" s="11">
        <v>109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56</v>
      </c>
      <c r="J7" s="12" t="s">
        <v>57</v>
      </c>
      <c r="K7" s="13" t="s">
        <v>52</v>
      </c>
      <c r="L7" s="11" t="str">
        <f>"000051"</f>
        <v>000051</v>
      </c>
      <c r="M7" s="10">
        <v>42111</v>
      </c>
      <c r="N7" s="11" t="str">
        <f>"000.13"</f>
        <v>000.13</v>
      </c>
      <c r="O7" s="10">
        <v>42916</v>
      </c>
      <c r="P7" s="11" t="str">
        <f>"000147"</f>
        <v>000147</v>
      </c>
      <c r="Q7" s="10">
        <v>42520</v>
      </c>
      <c r="R7" s="11">
        <v>15</v>
      </c>
      <c r="S7" s="11" t="str">
        <f>"000544"</f>
        <v>000544</v>
      </c>
      <c r="T7" s="10">
        <v>43203</v>
      </c>
      <c r="U7" s="14">
        <v>9.7980900000000002</v>
      </c>
      <c r="V7" s="14">
        <v>1.1915100000000001</v>
      </c>
      <c r="W7" s="14">
        <v>8.6065799999999992</v>
      </c>
      <c r="X7" s="11">
        <v>23</v>
      </c>
      <c r="Y7" s="10">
        <v>43214</v>
      </c>
      <c r="Z7" s="11">
        <v>1234567890</v>
      </c>
      <c r="AA7" s="12" t="s">
        <v>58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9.7980899999999996E-2</v>
      </c>
      <c r="AG7" s="11" t="s">
        <v>45</v>
      </c>
    </row>
    <row r="8" spans="1:33" x14ac:dyDescent="0.2">
      <c r="A8" s="8">
        <v>640</v>
      </c>
      <c r="B8" s="9" t="s">
        <v>33</v>
      </c>
      <c r="C8" s="10">
        <v>43214</v>
      </c>
      <c r="D8" s="11">
        <v>109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59</v>
      </c>
      <c r="J8" s="12" t="s">
        <v>60</v>
      </c>
      <c r="K8" s="13" t="s">
        <v>52</v>
      </c>
      <c r="L8" s="11" t="str">
        <f>"000052"</f>
        <v>000052</v>
      </c>
      <c r="M8" s="10">
        <v>42111</v>
      </c>
      <c r="N8" s="11" t="str">
        <f>"000.15"</f>
        <v>000.15</v>
      </c>
      <c r="O8" s="10">
        <v>42916</v>
      </c>
      <c r="P8" s="11" t="str">
        <f>"000148"</f>
        <v>000148</v>
      </c>
      <c r="Q8" s="10">
        <v>42520</v>
      </c>
      <c r="R8" s="11">
        <v>15</v>
      </c>
      <c r="S8" s="11" t="str">
        <f>"000545"</f>
        <v>000545</v>
      </c>
      <c r="T8" s="10">
        <v>43203</v>
      </c>
      <c r="U8" s="14">
        <v>9.7980900000000002</v>
      </c>
      <c r="V8" s="14">
        <v>1.19211</v>
      </c>
      <c r="W8" s="14">
        <v>8.6059800000000006</v>
      </c>
      <c r="X8" s="11">
        <v>23</v>
      </c>
      <c r="Y8" s="10">
        <v>43214</v>
      </c>
      <c r="Z8" s="11">
        <v>1234567890</v>
      </c>
      <c r="AA8" s="12" t="s">
        <v>58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9.7980899999999996E-2</v>
      </c>
      <c r="AG8" s="11" t="s">
        <v>45</v>
      </c>
    </row>
    <row r="9" spans="1:33" x14ac:dyDescent="0.2">
      <c r="A9" s="8">
        <v>1126</v>
      </c>
      <c r="B9" s="9" t="s">
        <v>61</v>
      </c>
      <c r="C9" s="10">
        <v>43230</v>
      </c>
      <c r="D9" s="11">
        <v>109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62</v>
      </c>
      <c r="J9" s="12" t="s">
        <v>63</v>
      </c>
      <c r="K9" s="13" t="s">
        <v>52</v>
      </c>
      <c r="L9" s="11" t="str">
        <f>"000109"</f>
        <v>000109</v>
      </c>
      <c r="M9" s="10">
        <v>42668</v>
      </c>
      <c r="N9" s="11" t="str">
        <f>"000113"</f>
        <v>000113</v>
      </c>
      <c r="O9" s="10">
        <v>42766</v>
      </c>
      <c r="P9" s="11" t="str">
        <f>"000492"</f>
        <v>000492</v>
      </c>
      <c r="Q9" s="10">
        <v>42766</v>
      </c>
      <c r="R9" s="11">
        <v>16</v>
      </c>
      <c r="S9" s="11" t="str">
        <f>"001241"</f>
        <v>001241</v>
      </c>
      <c r="T9" s="10">
        <v>43228</v>
      </c>
      <c r="U9" s="14">
        <v>9.9850399999999997</v>
      </c>
      <c r="V9" s="14">
        <v>1.3756299999999999</v>
      </c>
      <c r="W9" s="14">
        <v>8.6094100000000005</v>
      </c>
      <c r="X9" s="11">
        <v>48</v>
      </c>
      <c r="Y9" s="10">
        <v>43230</v>
      </c>
      <c r="Z9" s="11">
        <v>9483161122</v>
      </c>
      <c r="AA9" s="12" t="s">
        <v>64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9.9850399999999992E-2</v>
      </c>
      <c r="AG9" s="11" t="s">
        <v>45</v>
      </c>
    </row>
    <row r="10" spans="1:33" x14ac:dyDescent="0.2">
      <c r="A10" s="8">
        <v>2338</v>
      </c>
      <c r="B10" s="9" t="s">
        <v>65</v>
      </c>
      <c r="C10" s="10">
        <v>43269</v>
      </c>
      <c r="D10" s="11">
        <v>109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66</v>
      </c>
      <c r="J10" s="12" t="s">
        <v>67</v>
      </c>
      <c r="K10" s="13" t="s">
        <v>39</v>
      </c>
      <c r="L10" s="11" t="str">
        <f>"000068"</f>
        <v>000068</v>
      </c>
      <c r="M10" s="10">
        <v>42118</v>
      </c>
      <c r="N10" s="11" t="str">
        <f>"000117"</f>
        <v>000117</v>
      </c>
      <c r="O10" s="10">
        <v>42781</v>
      </c>
      <c r="P10" s="11" t="str">
        <f>"000497"</f>
        <v>000497</v>
      </c>
      <c r="Q10" s="10">
        <v>42775</v>
      </c>
      <c r="R10" s="11">
        <v>15</v>
      </c>
      <c r="S10" s="11" t="str">
        <f>"002499"</f>
        <v>002499</v>
      </c>
      <c r="T10" s="10">
        <v>43264</v>
      </c>
      <c r="U10" s="14">
        <v>5.1786000000000003</v>
      </c>
      <c r="V10" s="14">
        <v>0.40014</v>
      </c>
      <c r="W10" s="14">
        <v>4.7784599999999999</v>
      </c>
      <c r="X10" s="11">
        <v>91</v>
      </c>
      <c r="Y10" s="10">
        <v>43269</v>
      </c>
      <c r="Z10" s="11">
        <v>7676763113</v>
      </c>
      <c r="AA10" s="12" t="s">
        <v>68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5.1786000000000006E-2</v>
      </c>
      <c r="AG10" s="11" t="s">
        <v>45</v>
      </c>
    </row>
    <row r="11" spans="1:33" x14ac:dyDescent="0.2">
      <c r="A11" s="8">
        <v>2339</v>
      </c>
      <c r="B11" s="9" t="s">
        <v>65</v>
      </c>
      <c r="C11" s="10">
        <v>43269</v>
      </c>
      <c r="D11" s="11">
        <v>109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69</v>
      </c>
      <c r="J11" s="12" t="s">
        <v>70</v>
      </c>
      <c r="K11" s="13" t="s">
        <v>52</v>
      </c>
      <c r="L11" s="11" t="str">
        <f>"000167"</f>
        <v>000167</v>
      </c>
      <c r="M11" s="10">
        <v>42796</v>
      </c>
      <c r="N11" s="11" t="str">
        <f>"000122"</f>
        <v>000122</v>
      </c>
      <c r="O11" s="10">
        <v>42825</v>
      </c>
      <c r="P11" s="11" t="str">
        <f>"000585"</f>
        <v>000585</v>
      </c>
      <c r="Q11" s="10">
        <v>42825</v>
      </c>
      <c r="R11" s="11">
        <v>17</v>
      </c>
      <c r="S11" s="11" t="str">
        <f>"002530"</f>
        <v>002530</v>
      </c>
      <c r="T11" s="10">
        <v>43264</v>
      </c>
      <c r="U11" s="14">
        <v>9.9834300000000002</v>
      </c>
      <c r="V11" s="14">
        <v>1.24458</v>
      </c>
      <c r="W11" s="14">
        <v>8.7388499999999993</v>
      </c>
      <c r="X11" s="11">
        <v>91</v>
      </c>
      <c r="Y11" s="10">
        <v>43269</v>
      </c>
      <c r="Z11" s="11">
        <v>9740666366</v>
      </c>
      <c r="AA11" s="12" t="s">
        <v>71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9.9834300000000001E-2</v>
      </c>
      <c r="AG11" s="11" t="s">
        <v>45</v>
      </c>
    </row>
    <row r="12" spans="1:33" x14ac:dyDescent="0.2">
      <c r="A12" s="8">
        <v>2340</v>
      </c>
      <c r="B12" s="9" t="s">
        <v>65</v>
      </c>
      <c r="C12" s="10">
        <v>43269</v>
      </c>
      <c r="D12" s="11">
        <v>109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72</v>
      </c>
      <c r="J12" s="12" t="s">
        <v>73</v>
      </c>
      <c r="K12" s="13" t="s">
        <v>52</v>
      </c>
      <c r="L12" s="11" t="str">
        <f>"000166"</f>
        <v>000166</v>
      </c>
      <c r="M12" s="10">
        <v>42796</v>
      </c>
      <c r="N12" s="11" t="str">
        <f>"000123"</f>
        <v>000123</v>
      </c>
      <c r="O12" s="10">
        <v>42825</v>
      </c>
      <c r="P12" s="11" t="str">
        <f>"000586"</f>
        <v>000586</v>
      </c>
      <c r="Q12" s="10">
        <v>42825</v>
      </c>
      <c r="R12" s="11">
        <v>17</v>
      </c>
      <c r="S12" s="11" t="str">
        <f>"002531"</f>
        <v>002531</v>
      </c>
      <c r="T12" s="10">
        <v>43264</v>
      </c>
      <c r="U12" s="14">
        <v>4.9839900000000004</v>
      </c>
      <c r="V12" s="14">
        <v>0.62900999999999996</v>
      </c>
      <c r="W12" s="14">
        <v>4.3549800000000003</v>
      </c>
      <c r="X12" s="11">
        <v>91</v>
      </c>
      <c r="Y12" s="10">
        <v>43269</v>
      </c>
      <c r="Z12" s="11">
        <v>9740666366</v>
      </c>
      <c r="AA12" s="12" t="s">
        <v>71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4.9839900000000006E-2</v>
      </c>
      <c r="AG12" s="11" t="s">
        <v>45</v>
      </c>
    </row>
    <row r="13" spans="1:33" x14ac:dyDescent="0.2">
      <c r="A13" s="8">
        <v>3085</v>
      </c>
      <c r="B13" s="9" t="s">
        <v>74</v>
      </c>
      <c r="C13" s="10">
        <v>43287</v>
      </c>
      <c r="D13" s="11">
        <v>109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75</v>
      </c>
      <c r="J13" s="12" t="s">
        <v>76</v>
      </c>
      <c r="K13" s="13" t="s">
        <v>52</v>
      </c>
      <c r="L13" s="11" t="str">
        <f>"000139"</f>
        <v>000139</v>
      </c>
      <c r="M13" s="10">
        <v>42432</v>
      </c>
      <c r="N13" s="11" t="str">
        <f>"000090"</f>
        <v>000090</v>
      </c>
      <c r="O13" s="10">
        <v>42703</v>
      </c>
      <c r="P13" s="11" t="str">
        <f>"000434"</f>
        <v>000434</v>
      </c>
      <c r="Q13" s="10">
        <v>42703</v>
      </c>
      <c r="R13" s="11">
        <v>16</v>
      </c>
      <c r="S13" s="11" t="str">
        <f>"003243"</f>
        <v>003243</v>
      </c>
      <c r="T13" s="10">
        <v>43283</v>
      </c>
      <c r="U13" s="14">
        <v>9.4697200000000006</v>
      </c>
      <c r="V13" s="14">
        <v>1.2198100000000001</v>
      </c>
      <c r="W13" s="14">
        <v>8.2499099999999999</v>
      </c>
      <c r="X13" s="11">
        <v>113</v>
      </c>
      <c r="Y13" s="10">
        <v>43287</v>
      </c>
      <c r="Z13" s="11">
        <v>9480087461</v>
      </c>
      <c r="AA13" s="12" t="s">
        <v>77</v>
      </c>
      <c r="AB13" s="11" t="s">
        <v>78</v>
      </c>
      <c r="AC13" s="12" t="s">
        <v>79</v>
      </c>
      <c r="AD13" s="11" t="s">
        <v>43</v>
      </c>
      <c r="AE13" s="12" t="s">
        <v>44</v>
      </c>
      <c r="AF13" s="14">
        <v>9.4697200000000009E-2</v>
      </c>
      <c r="AG13" s="11" t="s">
        <v>45</v>
      </c>
    </row>
    <row r="14" spans="1:33" x14ac:dyDescent="0.2">
      <c r="A14" s="8">
        <v>3934</v>
      </c>
      <c r="B14" s="9" t="s">
        <v>74</v>
      </c>
      <c r="C14" s="10">
        <v>43305</v>
      </c>
      <c r="D14" s="11">
        <v>109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80</v>
      </c>
      <c r="J14" s="12" t="s">
        <v>81</v>
      </c>
      <c r="K14" s="13" t="s">
        <v>82</v>
      </c>
      <c r="L14" s="11" t="str">
        <f>"000968"</f>
        <v>000968</v>
      </c>
      <c r="M14" s="10">
        <v>41698</v>
      </c>
      <c r="N14" s="11" t="str">
        <f>"0000.1"</f>
        <v>0000.1</v>
      </c>
      <c r="O14" s="10">
        <v>42520</v>
      </c>
      <c r="P14" s="11" t="str">
        <f>"000137"</f>
        <v>000137</v>
      </c>
      <c r="Q14" s="10">
        <v>42520</v>
      </c>
      <c r="R14" s="11">
        <v>14</v>
      </c>
      <c r="S14" s="11" t="str">
        <f>"004097"</f>
        <v>004097</v>
      </c>
      <c r="T14" s="10">
        <v>43301</v>
      </c>
      <c r="U14" s="14">
        <v>64.201509999999999</v>
      </c>
      <c r="V14" s="14">
        <v>8.8188999999999993</v>
      </c>
      <c r="W14" s="14">
        <v>55.38261</v>
      </c>
      <c r="X14" s="11">
        <v>139</v>
      </c>
      <c r="Y14" s="10">
        <v>43305</v>
      </c>
      <c r="Z14" s="11">
        <v>9483161122</v>
      </c>
      <c r="AA14" s="12" t="s">
        <v>64</v>
      </c>
      <c r="AB14" s="11" t="s">
        <v>83</v>
      </c>
      <c r="AC14" s="12" t="s">
        <v>84</v>
      </c>
      <c r="AD14" s="11" t="s">
        <v>43</v>
      </c>
      <c r="AE14" s="12" t="s">
        <v>44</v>
      </c>
      <c r="AF14" s="14">
        <v>0.64201509999999995</v>
      </c>
      <c r="AG14" s="11" t="s">
        <v>45</v>
      </c>
    </row>
    <row r="15" spans="1:33" x14ac:dyDescent="0.2">
      <c r="A15" s="8">
        <v>4298</v>
      </c>
      <c r="B15" s="9" t="s">
        <v>85</v>
      </c>
      <c r="C15" s="10">
        <v>43315</v>
      </c>
      <c r="D15" s="11">
        <v>109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86</v>
      </c>
      <c r="J15" s="12" t="s">
        <v>87</v>
      </c>
      <c r="K15" s="13" t="s">
        <v>52</v>
      </c>
      <c r="L15" s="11" t="str">
        <f>"000112"</f>
        <v>000112</v>
      </c>
      <c r="M15" s="10">
        <v>42668</v>
      </c>
      <c r="N15" s="11" t="str">
        <f>"00.114"</f>
        <v>00.114</v>
      </c>
      <c r="O15" s="10">
        <v>42750</v>
      </c>
      <c r="P15" s="11" t="str">
        <f>"000494"</f>
        <v>000494</v>
      </c>
      <c r="Q15" s="10">
        <v>42766</v>
      </c>
      <c r="R15" s="11">
        <v>16</v>
      </c>
      <c r="S15" s="11" t="str">
        <f>"004498"</f>
        <v>004498</v>
      </c>
      <c r="T15" s="10">
        <v>43308</v>
      </c>
      <c r="U15" s="14">
        <v>4.9937899999999997</v>
      </c>
      <c r="V15" s="14">
        <v>0.67125000000000001</v>
      </c>
      <c r="W15" s="14">
        <v>4.32254</v>
      </c>
      <c r="X15" s="11">
        <v>152</v>
      </c>
      <c r="Y15" s="10">
        <v>43315</v>
      </c>
      <c r="Z15" s="11">
        <v>9483161122</v>
      </c>
      <c r="AA15" s="12" t="s">
        <v>64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v>4.99379E-2</v>
      </c>
      <c r="AG15" s="11" t="s">
        <v>45</v>
      </c>
    </row>
    <row r="16" spans="1:33" x14ac:dyDescent="0.2">
      <c r="A16" s="8">
        <v>4299</v>
      </c>
      <c r="B16" s="9" t="s">
        <v>85</v>
      </c>
      <c r="C16" s="10">
        <v>43315</v>
      </c>
      <c r="D16" s="11">
        <v>109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88</v>
      </c>
      <c r="J16" s="12" t="s">
        <v>89</v>
      </c>
      <c r="K16" s="13" t="s">
        <v>39</v>
      </c>
      <c r="L16" s="11" t="str">
        <f>"000111"</f>
        <v>000111</v>
      </c>
      <c r="M16" s="10">
        <v>42668</v>
      </c>
      <c r="N16" s="11" t="str">
        <f>"000116"</f>
        <v>000116</v>
      </c>
      <c r="O16" s="10">
        <v>42750</v>
      </c>
      <c r="P16" s="11" t="str">
        <f>"000495"</f>
        <v>000495</v>
      </c>
      <c r="Q16" s="10">
        <v>42766</v>
      </c>
      <c r="R16" s="11">
        <v>16</v>
      </c>
      <c r="S16" s="11" t="str">
        <f>"004499"</f>
        <v>004499</v>
      </c>
      <c r="T16" s="10">
        <v>43308</v>
      </c>
      <c r="U16" s="14">
        <v>9.9923300000000008</v>
      </c>
      <c r="V16" s="14">
        <v>1.3225499999999999</v>
      </c>
      <c r="W16" s="14">
        <v>8.6697799999999994</v>
      </c>
      <c r="X16" s="11">
        <v>152</v>
      </c>
      <c r="Y16" s="10">
        <v>43315</v>
      </c>
      <c r="Z16" s="11">
        <v>9483161122</v>
      </c>
      <c r="AA16" s="12" t="s">
        <v>64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9.9923300000000007E-2</v>
      </c>
      <c r="AG16" s="11" t="s">
        <v>45</v>
      </c>
    </row>
    <row r="17" spans="1:33" x14ac:dyDescent="0.2">
      <c r="A17" s="8">
        <v>5471</v>
      </c>
      <c r="B17" s="9" t="s">
        <v>90</v>
      </c>
      <c r="C17" s="10">
        <v>43357</v>
      </c>
      <c r="D17" s="11">
        <v>109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91</v>
      </c>
      <c r="J17" s="12" t="s">
        <v>92</v>
      </c>
      <c r="K17" s="13" t="s">
        <v>82</v>
      </c>
      <c r="L17" s="11" t="str">
        <f>"000041"</f>
        <v>000041</v>
      </c>
      <c r="M17" s="10">
        <v>42893</v>
      </c>
      <c r="N17" s="11" t="str">
        <f>"000016"</f>
        <v>000016</v>
      </c>
      <c r="O17" s="10">
        <v>42970</v>
      </c>
      <c r="P17" s="11" t="str">
        <f>"000011"</f>
        <v>000011</v>
      </c>
      <c r="Q17" s="10">
        <v>42970</v>
      </c>
      <c r="R17" s="11">
        <v>16</v>
      </c>
      <c r="S17" s="11" t="str">
        <f>"005738"</f>
        <v>005738</v>
      </c>
      <c r="T17" s="10">
        <v>43354</v>
      </c>
      <c r="U17" s="14">
        <v>6.7423900000000003</v>
      </c>
      <c r="V17" s="14">
        <v>0.93162999999999996</v>
      </c>
      <c r="W17" s="14">
        <v>5.8107600000000001</v>
      </c>
      <c r="X17" s="11">
        <v>203</v>
      </c>
      <c r="Y17" s="10">
        <v>43357</v>
      </c>
      <c r="Z17" s="11">
        <v>8711939687</v>
      </c>
      <c r="AA17" s="12" t="s">
        <v>93</v>
      </c>
      <c r="AB17" s="11" t="s">
        <v>41</v>
      </c>
      <c r="AC17" s="12" t="s">
        <v>42</v>
      </c>
      <c r="AD17" s="11" t="s">
        <v>94</v>
      </c>
      <c r="AE17" s="12" t="s">
        <v>95</v>
      </c>
      <c r="AF17" s="14">
        <f t="shared" ref="AF17:AF41" si="0">U17/100</f>
        <v>6.7423900000000009E-2</v>
      </c>
      <c r="AG17" s="11" t="s">
        <v>45</v>
      </c>
    </row>
    <row r="18" spans="1:33" x14ac:dyDescent="0.2">
      <c r="A18" s="8">
        <v>5472</v>
      </c>
      <c r="B18" s="9" t="s">
        <v>90</v>
      </c>
      <c r="C18" s="10">
        <v>43357</v>
      </c>
      <c r="D18" s="11">
        <v>109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96</v>
      </c>
      <c r="J18" s="12" t="s">
        <v>97</v>
      </c>
      <c r="K18" s="13" t="s">
        <v>98</v>
      </c>
      <c r="L18" s="11" t="str">
        <f>"000014"</f>
        <v>000014</v>
      </c>
      <c r="M18" s="10">
        <v>43067</v>
      </c>
      <c r="N18" s="11" t="str">
        <f>"000006"</f>
        <v>000006</v>
      </c>
      <c r="O18" s="10">
        <v>43067</v>
      </c>
      <c r="P18" s="11" t="str">
        <f>"000015"</f>
        <v>000015</v>
      </c>
      <c r="Q18" s="10">
        <v>43067</v>
      </c>
      <c r="R18" s="11">
        <v>17</v>
      </c>
      <c r="S18" s="11" t="str">
        <f>"005705"</f>
        <v>005705</v>
      </c>
      <c r="T18" s="10">
        <v>43350</v>
      </c>
      <c r="U18" s="14">
        <v>4.9547100000000004</v>
      </c>
      <c r="V18" s="14">
        <v>0.57896000000000003</v>
      </c>
      <c r="W18" s="14">
        <v>4.37575</v>
      </c>
      <c r="X18" s="11">
        <v>204</v>
      </c>
      <c r="Y18" s="10">
        <v>43357</v>
      </c>
      <c r="Z18" s="11">
        <v>1234567890</v>
      </c>
      <c r="AA18" s="12" t="s">
        <v>99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f t="shared" si="0"/>
        <v>4.9547100000000004E-2</v>
      </c>
      <c r="AG18" s="11" t="s">
        <v>45</v>
      </c>
    </row>
    <row r="19" spans="1:33" x14ac:dyDescent="0.2">
      <c r="A19" s="8">
        <v>6146</v>
      </c>
      <c r="B19" s="9" t="s">
        <v>100</v>
      </c>
      <c r="C19" s="10">
        <v>43385</v>
      </c>
      <c r="D19" s="11">
        <v>109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101</v>
      </c>
      <c r="J19" s="12" t="s">
        <v>102</v>
      </c>
      <c r="K19" s="13" t="s">
        <v>52</v>
      </c>
      <c r="L19" s="11" t="str">
        <f>"000061"</f>
        <v>000061</v>
      </c>
      <c r="M19" s="10">
        <v>43277</v>
      </c>
      <c r="N19" s="11" t="str">
        <f>"000014"</f>
        <v>000014</v>
      </c>
      <c r="O19" s="10">
        <v>43277</v>
      </c>
      <c r="P19" s="11" t="str">
        <f>"000060"</f>
        <v>000060</v>
      </c>
      <c r="Q19" s="10">
        <v>43277</v>
      </c>
      <c r="R19" s="11">
        <v>18</v>
      </c>
      <c r="S19" s="11" t="str">
        <f>"006225"</f>
        <v>006225</v>
      </c>
      <c r="T19" s="10">
        <v>43379</v>
      </c>
      <c r="U19" s="14">
        <v>166.42418000000001</v>
      </c>
      <c r="V19" s="14">
        <v>16.26024</v>
      </c>
      <c r="W19" s="14">
        <v>150.16394</v>
      </c>
      <c r="X19" s="11">
        <v>228</v>
      </c>
      <c r="Y19" s="10">
        <v>43385</v>
      </c>
      <c r="Z19" s="11">
        <v>9483161122</v>
      </c>
      <c r="AA19" s="12" t="s">
        <v>103</v>
      </c>
      <c r="AB19" s="11" t="s">
        <v>104</v>
      </c>
      <c r="AC19" s="12" t="s">
        <v>105</v>
      </c>
      <c r="AD19" s="11" t="s">
        <v>43</v>
      </c>
      <c r="AE19" s="12" t="s">
        <v>44</v>
      </c>
      <c r="AF19" s="14">
        <f t="shared" si="0"/>
        <v>1.6642418000000001</v>
      </c>
      <c r="AG19" s="11" t="s">
        <v>106</v>
      </c>
    </row>
    <row r="20" spans="1:33" x14ac:dyDescent="0.2">
      <c r="A20" s="8">
        <v>6147</v>
      </c>
      <c r="B20" s="9" t="s">
        <v>100</v>
      </c>
      <c r="C20" s="10">
        <v>43385</v>
      </c>
      <c r="D20" s="11">
        <v>109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107</v>
      </c>
      <c r="J20" s="12" t="s">
        <v>108</v>
      </c>
      <c r="K20" s="13" t="s">
        <v>52</v>
      </c>
      <c r="L20" s="11" t="str">
        <f>"000060"</f>
        <v>000060</v>
      </c>
      <c r="M20" s="10">
        <v>43277</v>
      </c>
      <c r="N20" s="11" t="str">
        <f>"000015"</f>
        <v>000015</v>
      </c>
      <c r="O20" s="10">
        <v>43277</v>
      </c>
      <c r="P20" s="11" t="str">
        <f>"000059"</f>
        <v>000059</v>
      </c>
      <c r="Q20" s="10">
        <v>43277</v>
      </c>
      <c r="R20" s="11">
        <v>18</v>
      </c>
      <c r="S20" s="11" t="str">
        <f>"006253"</f>
        <v>006253</v>
      </c>
      <c r="T20" s="10">
        <v>43380</v>
      </c>
      <c r="U20" s="14">
        <v>277.149</v>
      </c>
      <c r="V20" s="14">
        <v>27.062660000000001</v>
      </c>
      <c r="W20" s="14">
        <v>250.08634000000001</v>
      </c>
      <c r="X20" s="11">
        <v>228</v>
      </c>
      <c r="Y20" s="10">
        <v>43385</v>
      </c>
      <c r="Z20" s="11">
        <v>9483161122</v>
      </c>
      <c r="AA20" s="12" t="s">
        <v>103</v>
      </c>
      <c r="AB20" s="11" t="s">
        <v>104</v>
      </c>
      <c r="AC20" s="12" t="s">
        <v>105</v>
      </c>
      <c r="AD20" s="11" t="s">
        <v>43</v>
      </c>
      <c r="AE20" s="12" t="s">
        <v>44</v>
      </c>
      <c r="AF20" s="14">
        <f t="shared" si="0"/>
        <v>2.77149</v>
      </c>
      <c r="AG20" s="11" t="s">
        <v>106</v>
      </c>
    </row>
    <row r="21" spans="1:33" x14ac:dyDescent="0.2">
      <c r="A21" s="8">
        <v>6148</v>
      </c>
      <c r="B21" s="9" t="s">
        <v>100</v>
      </c>
      <c r="C21" s="10">
        <v>43385</v>
      </c>
      <c r="D21" s="11">
        <v>109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101</v>
      </c>
      <c r="J21" s="12" t="s">
        <v>102</v>
      </c>
      <c r="K21" s="13" t="s">
        <v>52</v>
      </c>
      <c r="L21" s="11" t="str">
        <f>"000061"</f>
        <v>000061</v>
      </c>
      <c r="M21" s="10">
        <v>43277</v>
      </c>
      <c r="N21" s="11" t="str">
        <f>"000014"</f>
        <v>000014</v>
      </c>
      <c r="O21" s="10">
        <v>43277</v>
      </c>
      <c r="P21" s="11" t="str">
        <f>"000060"</f>
        <v>000060</v>
      </c>
      <c r="Q21" s="10">
        <v>43277</v>
      </c>
      <c r="R21" s="11">
        <v>18</v>
      </c>
      <c r="S21" s="11" t="str">
        <f>"006225"</f>
        <v>006225</v>
      </c>
      <c r="T21" s="10">
        <v>43379</v>
      </c>
      <c r="U21" s="14">
        <v>166.42418000000001</v>
      </c>
      <c r="V21" s="14">
        <v>16.26024</v>
      </c>
      <c r="W21" s="14">
        <v>150.16394</v>
      </c>
      <c r="X21" s="11">
        <v>228</v>
      </c>
      <c r="Y21" s="10">
        <v>43385</v>
      </c>
      <c r="Z21" s="11">
        <v>9483161122</v>
      </c>
      <c r="AA21" s="12" t="s">
        <v>103</v>
      </c>
      <c r="AB21" s="11" t="s">
        <v>104</v>
      </c>
      <c r="AC21" s="12" t="s">
        <v>105</v>
      </c>
      <c r="AD21" s="11" t="s">
        <v>43</v>
      </c>
      <c r="AE21" s="12" t="s">
        <v>44</v>
      </c>
      <c r="AF21" s="14">
        <f t="shared" si="0"/>
        <v>1.6642418000000001</v>
      </c>
      <c r="AG21" s="11" t="s">
        <v>106</v>
      </c>
    </row>
    <row r="22" spans="1:33" x14ac:dyDescent="0.2">
      <c r="A22" s="8">
        <v>6149</v>
      </c>
      <c r="B22" s="9" t="s">
        <v>100</v>
      </c>
      <c r="C22" s="10">
        <v>43385</v>
      </c>
      <c r="D22" s="11">
        <v>109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107</v>
      </c>
      <c r="J22" s="12" t="s">
        <v>108</v>
      </c>
      <c r="K22" s="13" t="s">
        <v>52</v>
      </c>
      <c r="L22" s="11" t="str">
        <f>"000060"</f>
        <v>000060</v>
      </c>
      <c r="M22" s="10">
        <v>43277</v>
      </c>
      <c r="N22" s="11" t="str">
        <f>"000015"</f>
        <v>000015</v>
      </c>
      <c r="O22" s="10">
        <v>43277</v>
      </c>
      <c r="P22" s="11" t="str">
        <f>"000059"</f>
        <v>000059</v>
      </c>
      <c r="Q22" s="10">
        <v>43277</v>
      </c>
      <c r="R22" s="11">
        <v>18</v>
      </c>
      <c r="S22" s="11" t="str">
        <f>"006253"</f>
        <v>006253</v>
      </c>
      <c r="T22" s="10">
        <v>43380</v>
      </c>
      <c r="U22" s="14">
        <v>277.149</v>
      </c>
      <c r="V22" s="14">
        <v>27.062660000000001</v>
      </c>
      <c r="W22" s="14">
        <v>250.08634000000001</v>
      </c>
      <c r="X22" s="11">
        <v>228</v>
      </c>
      <c r="Y22" s="10">
        <v>43385</v>
      </c>
      <c r="Z22" s="11">
        <v>9483161122</v>
      </c>
      <c r="AA22" s="12" t="s">
        <v>103</v>
      </c>
      <c r="AB22" s="11" t="s">
        <v>104</v>
      </c>
      <c r="AC22" s="12" t="s">
        <v>105</v>
      </c>
      <c r="AD22" s="11" t="s">
        <v>43</v>
      </c>
      <c r="AE22" s="12" t="s">
        <v>44</v>
      </c>
      <c r="AF22" s="14">
        <f t="shared" si="0"/>
        <v>2.77149</v>
      </c>
      <c r="AG22" s="11" t="s">
        <v>106</v>
      </c>
    </row>
    <row r="23" spans="1:33" x14ac:dyDescent="0.2">
      <c r="A23" s="8">
        <v>6150</v>
      </c>
      <c r="B23" s="9" t="s">
        <v>100</v>
      </c>
      <c r="C23" s="10">
        <v>43385</v>
      </c>
      <c r="D23" s="11">
        <v>109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109</v>
      </c>
      <c r="J23" s="12" t="s">
        <v>110</v>
      </c>
      <c r="K23" s="13" t="s">
        <v>52</v>
      </c>
      <c r="L23" s="11" t="str">
        <f>"000080"</f>
        <v>000080</v>
      </c>
      <c r="M23" s="10">
        <v>43292</v>
      </c>
      <c r="N23" s="11" t="str">
        <f>"000020"</f>
        <v>000020</v>
      </c>
      <c r="O23" s="10">
        <v>43293</v>
      </c>
      <c r="P23" s="11" t="str">
        <f>"000080"</f>
        <v>000080</v>
      </c>
      <c r="Q23" s="10">
        <v>43293</v>
      </c>
      <c r="R23" s="11">
        <v>18</v>
      </c>
      <c r="S23" s="11" t="str">
        <f>"006412"</f>
        <v>006412</v>
      </c>
      <c r="T23" s="10">
        <v>43382</v>
      </c>
      <c r="U23" s="14">
        <v>219.70271</v>
      </c>
      <c r="V23" s="14">
        <v>21.62799</v>
      </c>
      <c r="W23" s="14">
        <v>198.07472000000001</v>
      </c>
      <c r="X23" s="11">
        <v>233</v>
      </c>
      <c r="Y23" s="10">
        <v>43385</v>
      </c>
      <c r="Z23" s="11">
        <v>9483161122</v>
      </c>
      <c r="AA23" s="12" t="s">
        <v>103</v>
      </c>
      <c r="AB23" s="11" t="s">
        <v>104</v>
      </c>
      <c r="AC23" s="12" t="s">
        <v>105</v>
      </c>
      <c r="AD23" s="11" t="s">
        <v>43</v>
      </c>
      <c r="AE23" s="12" t="s">
        <v>44</v>
      </c>
      <c r="AF23" s="14">
        <f t="shared" si="0"/>
        <v>2.1970271000000001</v>
      </c>
      <c r="AG23" s="11" t="s">
        <v>106</v>
      </c>
    </row>
    <row r="24" spans="1:33" x14ac:dyDescent="0.2">
      <c r="A24" s="8">
        <v>7006</v>
      </c>
      <c r="B24" s="9" t="s">
        <v>100</v>
      </c>
      <c r="C24" s="10">
        <v>43403</v>
      </c>
      <c r="D24" s="11">
        <v>109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111</v>
      </c>
      <c r="J24" s="12" t="s">
        <v>112</v>
      </c>
      <c r="K24" s="13" t="s">
        <v>52</v>
      </c>
      <c r="L24" s="11" t="str">
        <f>"000212"</f>
        <v>000212</v>
      </c>
      <c r="M24" s="10">
        <v>42843</v>
      </c>
      <c r="N24" s="11" t="str">
        <f>"000.06"</f>
        <v>000.06</v>
      </c>
      <c r="O24" s="10">
        <v>42882</v>
      </c>
      <c r="P24" s="11" t="str">
        <f>"000145"</f>
        <v>000145</v>
      </c>
      <c r="Q24" s="10">
        <v>42882</v>
      </c>
      <c r="R24" s="11">
        <v>17</v>
      </c>
      <c r="S24" s="11" t="str">
        <f>"006767"</f>
        <v>006767</v>
      </c>
      <c r="T24" s="10">
        <v>43389</v>
      </c>
      <c r="U24" s="14">
        <v>8.7780400000000007</v>
      </c>
      <c r="V24" s="14">
        <v>1.0583800000000001</v>
      </c>
      <c r="W24" s="14">
        <v>7.7196600000000002</v>
      </c>
      <c r="X24" s="11">
        <v>255</v>
      </c>
      <c r="Y24" s="10">
        <v>43403</v>
      </c>
      <c r="Z24" s="11">
        <v>9945417770</v>
      </c>
      <c r="AA24" s="12" t="s">
        <v>113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f t="shared" si="0"/>
        <v>8.7780400000000008E-2</v>
      </c>
      <c r="AG24" s="11" t="s">
        <v>45</v>
      </c>
    </row>
    <row r="25" spans="1:33" x14ac:dyDescent="0.2">
      <c r="A25" s="8">
        <v>7007</v>
      </c>
      <c r="B25" s="9" t="s">
        <v>100</v>
      </c>
      <c r="C25" s="10">
        <v>43403</v>
      </c>
      <c r="D25" s="11">
        <v>109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114</v>
      </c>
      <c r="J25" s="12" t="s">
        <v>115</v>
      </c>
      <c r="K25" s="13" t="s">
        <v>52</v>
      </c>
      <c r="L25" s="11" t="str">
        <f>"000203"</f>
        <v>000203</v>
      </c>
      <c r="M25" s="10">
        <v>42843</v>
      </c>
      <c r="N25" s="11" t="str">
        <f>"000..7"</f>
        <v>000..7</v>
      </c>
      <c r="O25" s="10">
        <v>42882</v>
      </c>
      <c r="P25" s="11" t="str">
        <f>"000146"</f>
        <v>000146</v>
      </c>
      <c r="Q25" s="10">
        <v>42882</v>
      </c>
      <c r="R25" s="11">
        <v>17</v>
      </c>
      <c r="S25" s="11" t="str">
        <f>"006768"</f>
        <v>006768</v>
      </c>
      <c r="T25" s="10">
        <v>43389</v>
      </c>
      <c r="U25" s="14">
        <v>8.77318</v>
      </c>
      <c r="V25" s="14">
        <v>1.0578099999999999</v>
      </c>
      <c r="W25" s="14">
        <v>7.7153700000000001</v>
      </c>
      <c r="X25" s="11">
        <v>255</v>
      </c>
      <c r="Y25" s="10">
        <v>43403</v>
      </c>
      <c r="Z25" s="11">
        <v>9945417770</v>
      </c>
      <c r="AA25" s="12" t="s">
        <v>113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f t="shared" si="0"/>
        <v>8.7731799999999999E-2</v>
      </c>
      <c r="AG25" s="11" t="s">
        <v>45</v>
      </c>
    </row>
    <row r="26" spans="1:33" x14ac:dyDescent="0.2">
      <c r="A26" s="8">
        <v>7008</v>
      </c>
      <c r="B26" s="9" t="s">
        <v>100</v>
      </c>
      <c r="C26" s="10">
        <v>43403</v>
      </c>
      <c r="D26" s="11">
        <v>109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116</v>
      </c>
      <c r="J26" s="12" t="s">
        <v>117</v>
      </c>
      <c r="K26" s="13" t="s">
        <v>39</v>
      </c>
      <c r="L26" s="11" t="str">
        <f>"000222"</f>
        <v>000222</v>
      </c>
      <c r="M26" s="10">
        <v>42849</v>
      </c>
      <c r="N26" s="11" t="str">
        <f>"000..1"</f>
        <v>000..1</v>
      </c>
      <c r="O26" s="10">
        <v>42882</v>
      </c>
      <c r="P26" s="11" t="str">
        <f>"000147"</f>
        <v>000147</v>
      </c>
      <c r="Q26" s="10">
        <v>42882</v>
      </c>
      <c r="R26" s="11">
        <v>17</v>
      </c>
      <c r="S26" s="11" t="str">
        <f>"006769"</f>
        <v>006769</v>
      </c>
      <c r="T26" s="10">
        <v>43389</v>
      </c>
      <c r="U26" s="14">
        <v>16.93121</v>
      </c>
      <c r="V26" s="14">
        <v>2.2815099999999999</v>
      </c>
      <c r="W26" s="14">
        <v>14.649699999999999</v>
      </c>
      <c r="X26" s="11">
        <v>255</v>
      </c>
      <c r="Y26" s="10">
        <v>43403</v>
      </c>
      <c r="Z26" s="11">
        <v>9945417770</v>
      </c>
      <c r="AA26" s="12" t="s">
        <v>40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si="0"/>
        <v>0.16931209999999999</v>
      </c>
      <c r="AG26" s="11" t="s">
        <v>45</v>
      </c>
    </row>
    <row r="27" spans="1:33" x14ac:dyDescent="0.2">
      <c r="A27" s="8">
        <v>7009</v>
      </c>
      <c r="B27" s="9" t="s">
        <v>100</v>
      </c>
      <c r="C27" s="10">
        <v>43403</v>
      </c>
      <c r="D27" s="11">
        <v>109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118</v>
      </c>
      <c r="J27" s="12" t="s">
        <v>119</v>
      </c>
      <c r="K27" s="13" t="s">
        <v>82</v>
      </c>
      <c r="L27" s="11" t="str">
        <f>"000177"</f>
        <v>000177</v>
      </c>
      <c r="M27" s="10">
        <v>42803</v>
      </c>
      <c r="N27" s="11" t="str">
        <f>"000..3"</f>
        <v>000..3</v>
      </c>
      <c r="O27" s="10">
        <v>42882</v>
      </c>
      <c r="P27" s="11" t="str">
        <f>"000151"</f>
        <v>000151</v>
      </c>
      <c r="Q27" s="10">
        <v>42882</v>
      </c>
      <c r="R27" s="11">
        <v>17</v>
      </c>
      <c r="S27" s="11" t="str">
        <f>"006771"</f>
        <v>006771</v>
      </c>
      <c r="T27" s="10">
        <v>43389</v>
      </c>
      <c r="U27" s="14">
        <v>8.7732600000000005</v>
      </c>
      <c r="V27" s="14">
        <v>1.05284</v>
      </c>
      <c r="W27" s="14">
        <v>7.7204199999999998</v>
      </c>
      <c r="X27" s="11">
        <v>255</v>
      </c>
      <c r="Y27" s="10">
        <v>43403</v>
      </c>
      <c r="Z27" s="11">
        <v>9945417770</v>
      </c>
      <c r="AA27" s="12" t="s">
        <v>113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0"/>
        <v>8.7732600000000008E-2</v>
      </c>
      <c r="AG27" s="11" t="s">
        <v>45</v>
      </c>
    </row>
    <row r="28" spans="1:33" x14ac:dyDescent="0.2">
      <c r="A28" s="8">
        <v>7010</v>
      </c>
      <c r="B28" s="9" t="s">
        <v>100</v>
      </c>
      <c r="C28" s="10">
        <v>43403</v>
      </c>
      <c r="D28" s="11">
        <v>109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120</v>
      </c>
      <c r="J28" s="12" t="s">
        <v>121</v>
      </c>
      <c r="K28" s="13" t="s">
        <v>82</v>
      </c>
      <c r="L28" s="11" t="str">
        <f>"0.0173"</f>
        <v>0.0173</v>
      </c>
      <c r="M28" s="10">
        <v>42803</v>
      </c>
      <c r="N28" s="11" t="str">
        <f>"000..5"</f>
        <v>000..5</v>
      </c>
      <c r="O28" s="10">
        <v>42882</v>
      </c>
      <c r="P28" s="11" t="str">
        <f>"000161"</f>
        <v>000161</v>
      </c>
      <c r="Q28" s="10">
        <v>42882</v>
      </c>
      <c r="R28" s="11">
        <v>17</v>
      </c>
      <c r="S28" s="11" t="str">
        <f>"006777"</f>
        <v>006777</v>
      </c>
      <c r="T28" s="10">
        <v>43389</v>
      </c>
      <c r="U28" s="14">
        <v>8.7744999999999997</v>
      </c>
      <c r="V28" s="14">
        <v>1.0439700000000001</v>
      </c>
      <c r="W28" s="14">
        <v>7.7305299999999999</v>
      </c>
      <c r="X28" s="11">
        <v>255</v>
      </c>
      <c r="Y28" s="10">
        <v>43403</v>
      </c>
      <c r="Z28" s="11">
        <v>9945417770</v>
      </c>
      <c r="AA28" s="12" t="s">
        <v>113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f t="shared" si="0"/>
        <v>8.7745000000000004E-2</v>
      </c>
      <c r="AG28" s="11" t="s">
        <v>45</v>
      </c>
    </row>
    <row r="29" spans="1:33" x14ac:dyDescent="0.2">
      <c r="A29" s="8">
        <v>7091</v>
      </c>
      <c r="B29" s="9" t="s">
        <v>100</v>
      </c>
      <c r="C29" s="10">
        <v>43404</v>
      </c>
      <c r="D29" s="11">
        <v>109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122</v>
      </c>
      <c r="J29" s="12" t="s">
        <v>123</v>
      </c>
      <c r="K29" s="13" t="s">
        <v>124</v>
      </c>
      <c r="L29" s="11" t="str">
        <f>"000082"</f>
        <v>000082</v>
      </c>
      <c r="M29" s="10">
        <v>43297</v>
      </c>
      <c r="N29" s="11" t="str">
        <f>"000022"</f>
        <v>000022</v>
      </c>
      <c r="O29" s="10">
        <v>43297</v>
      </c>
      <c r="P29" s="11" t="str">
        <f>"000082"</f>
        <v>000082</v>
      </c>
      <c r="Q29" s="10">
        <v>43297</v>
      </c>
      <c r="R29" s="11">
        <v>18</v>
      </c>
      <c r="S29" s="11" t="str">
        <f>"007054"</f>
        <v>007054</v>
      </c>
      <c r="T29" s="10">
        <v>43400</v>
      </c>
      <c r="U29" s="14">
        <v>19.4925</v>
      </c>
      <c r="V29" s="14">
        <v>2.20051</v>
      </c>
      <c r="W29" s="14">
        <v>17.291989999999998</v>
      </c>
      <c r="X29" s="11">
        <v>260</v>
      </c>
      <c r="Y29" s="10">
        <v>43404</v>
      </c>
      <c r="Z29" s="11">
        <v>9483161122</v>
      </c>
      <c r="AA29" s="12" t="s">
        <v>103</v>
      </c>
      <c r="AB29" s="11" t="s">
        <v>125</v>
      </c>
      <c r="AC29" s="12" t="s">
        <v>126</v>
      </c>
      <c r="AD29" s="11" t="s">
        <v>43</v>
      </c>
      <c r="AE29" s="12" t="s">
        <v>44</v>
      </c>
      <c r="AF29" s="14">
        <f t="shared" si="0"/>
        <v>0.19492499999999999</v>
      </c>
      <c r="AG29" s="11" t="s">
        <v>106</v>
      </c>
    </row>
    <row r="30" spans="1:33" x14ac:dyDescent="0.2">
      <c r="A30" s="8">
        <v>7759</v>
      </c>
      <c r="B30" s="9" t="s">
        <v>127</v>
      </c>
      <c r="C30" s="10">
        <v>43448</v>
      </c>
      <c r="D30" s="11">
        <v>109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128</v>
      </c>
      <c r="J30" s="12" t="s">
        <v>129</v>
      </c>
      <c r="K30" s="13" t="s">
        <v>52</v>
      </c>
      <c r="L30" s="11" t="str">
        <f>"000110"</f>
        <v>000110</v>
      </c>
      <c r="M30" s="10">
        <v>42668</v>
      </c>
      <c r="N30" s="11" t="str">
        <f>"000114"</f>
        <v>000114</v>
      </c>
      <c r="O30" s="10">
        <v>42750</v>
      </c>
      <c r="P30" s="11" t="str">
        <f>"000493"</f>
        <v>000493</v>
      </c>
      <c r="Q30" s="10">
        <v>42916</v>
      </c>
      <c r="R30" s="11">
        <v>16</v>
      </c>
      <c r="S30" s="11" t="str">
        <f>"007867"</f>
        <v>007867</v>
      </c>
      <c r="T30" s="10">
        <v>43445</v>
      </c>
      <c r="U30" s="14">
        <v>4.9980200000000004</v>
      </c>
      <c r="V30" s="14">
        <v>0.63734999999999997</v>
      </c>
      <c r="W30" s="14">
        <v>4.3606699999999998</v>
      </c>
      <c r="X30" s="11">
        <v>292</v>
      </c>
      <c r="Y30" s="10">
        <v>43448</v>
      </c>
      <c r="Z30" s="11">
        <v>9483161122</v>
      </c>
      <c r="AA30" s="12" t="s">
        <v>64</v>
      </c>
      <c r="AB30" s="11" t="s">
        <v>41</v>
      </c>
      <c r="AC30" s="12" t="s">
        <v>42</v>
      </c>
      <c r="AD30" s="11" t="s">
        <v>43</v>
      </c>
      <c r="AE30" s="12" t="s">
        <v>44</v>
      </c>
      <c r="AF30" s="14">
        <f t="shared" si="0"/>
        <v>4.9980200000000002E-2</v>
      </c>
      <c r="AG30" s="11" t="s">
        <v>45</v>
      </c>
    </row>
    <row r="31" spans="1:33" x14ac:dyDescent="0.2">
      <c r="A31" s="8">
        <v>7877</v>
      </c>
      <c r="B31" s="9" t="s">
        <v>127</v>
      </c>
      <c r="C31" s="10">
        <v>43453</v>
      </c>
      <c r="D31" s="11">
        <v>109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130</v>
      </c>
      <c r="J31" s="12" t="s">
        <v>131</v>
      </c>
      <c r="K31" s="13" t="s">
        <v>82</v>
      </c>
      <c r="L31" s="11" t="str">
        <f>"000037"</f>
        <v>000037</v>
      </c>
      <c r="M31" s="10">
        <v>43342</v>
      </c>
      <c r="N31" s="11" t="str">
        <f>"000126"</f>
        <v>000126</v>
      </c>
      <c r="O31" s="10">
        <v>43411</v>
      </c>
      <c r="P31" s="11" t="str">
        <f>"000124"</f>
        <v>000124</v>
      </c>
      <c r="Q31" s="10">
        <v>43411</v>
      </c>
      <c r="R31" s="11">
        <v>17</v>
      </c>
      <c r="S31" s="11" t="str">
        <f>"008067"</f>
        <v>008067</v>
      </c>
      <c r="T31" s="10">
        <v>43451</v>
      </c>
      <c r="U31" s="14">
        <v>9.9866899999999994</v>
      </c>
      <c r="V31" s="14">
        <v>1.2369399999999999</v>
      </c>
      <c r="W31" s="14">
        <v>8.7497500000000006</v>
      </c>
      <c r="X31" s="11">
        <v>296</v>
      </c>
      <c r="Y31" s="10">
        <v>43453</v>
      </c>
      <c r="Z31" s="11">
        <v>9845185234</v>
      </c>
      <c r="AA31" s="12" t="s">
        <v>132</v>
      </c>
      <c r="AB31" s="11" t="s">
        <v>133</v>
      </c>
      <c r="AC31" s="12" t="s">
        <v>134</v>
      </c>
      <c r="AD31" s="11" t="s">
        <v>94</v>
      </c>
      <c r="AE31" s="12" t="s">
        <v>95</v>
      </c>
      <c r="AF31" s="14">
        <f t="shared" si="0"/>
        <v>9.9866899999999995E-2</v>
      </c>
      <c r="AG31" s="11" t="s">
        <v>106</v>
      </c>
    </row>
    <row r="32" spans="1:33" x14ac:dyDescent="0.2">
      <c r="A32" s="8">
        <v>8032</v>
      </c>
      <c r="B32" s="9" t="s">
        <v>127</v>
      </c>
      <c r="C32" s="10">
        <v>43455</v>
      </c>
      <c r="D32" s="11">
        <v>109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135</v>
      </c>
      <c r="J32" s="12" t="s">
        <v>136</v>
      </c>
      <c r="K32" s="13" t="s">
        <v>39</v>
      </c>
      <c r="L32" s="11" t="str">
        <f>"000217"</f>
        <v>000217</v>
      </c>
      <c r="M32" s="10">
        <v>42849</v>
      </c>
      <c r="N32" s="11" t="str">
        <f>"000..4"</f>
        <v>000..4</v>
      </c>
      <c r="O32" s="10">
        <v>42895</v>
      </c>
      <c r="P32" s="11" t="str">
        <f>"000204"</f>
        <v>000204</v>
      </c>
      <c r="Q32" s="10">
        <v>42895</v>
      </c>
      <c r="R32" s="11">
        <v>17</v>
      </c>
      <c r="S32" s="11" t="str">
        <f>"008117"</f>
        <v>008117</v>
      </c>
      <c r="T32" s="10">
        <v>43454</v>
      </c>
      <c r="U32" s="14">
        <v>16.95806</v>
      </c>
      <c r="V32" s="14">
        <v>2.2865099999999998</v>
      </c>
      <c r="W32" s="14">
        <v>14.67155</v>
      </c>
      <c r="X32" s="11">
        <v>301</v>
      </c>
      <c r="Y32" s="10">
        <v>43455</v>
      </c>
      <c r="Z32" s="11">
        <v>9945417770</v>
      </c>
      <c r="AA32" s="12" t="s">
        <v>40</v>
      </c>
      <c r="AB32" s="11" t="s">
        <v>41</v>
      </c>
      <c r="AC32" s="12" t="s">
        <v>42</v>
      </c>
      <c r="AD32" s="11" t="s">
        <v>43</v>
      </c>
      <c r="AE32" s="12" t="s">
        <v>44</v>
      </c>
      <c r="AF32" s="14">
        <f t="shared" si="0"/>
        <v>0.1695806</v>
      </c>
      <c r="AG32" s="11" t="s">
        <v>45</v>
      </c>
    </row>
    <row r="33" spans="1:33" x14ac:dyDescent="0.2">
      <c r="A33" s="8">
        <v>8033</v>
      </c>
      <c r="B33" s="9" t="s">
        <v>127</v>
      </c>
      <c r="C33" s="10">
        <v>43455</v>
      </c>
      <c r="D33" s="11">
        <v>109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137</v>
      </c>
      <c r="J33" s="12" t="s">
        <v>138</v>
      </c>
      <c r="K33" s="13" t="s">
        <v>52</v>
      </c>
      <c r="L33" s="11" t="str">
        <f>"000248"</f>
        <v>000248</v>
      </c>
      <c r="M33" s="10">
        <v>42850</v>
      </c>
      <c r="N33" s="11" t="str">
        <f>"000..8"</f>
        <v>000..8</v>
      </c>
      <c r="O33" s="10">
        <v>42895</v>
      </c>
      <c r="P33" s="11" t="str">
        <f>"000205"</f>
        <v>000205</v>
      </c>
      <c r="Q33" s="10">
        <v>42895</v>
      </c>
      <c r="R33" s="11">
        <v>17</v>
      </c>
      <c r="S33" s="11" t="str">
        <f>"008119"</f>
        <v>008119</v>
      </c>
      <c r="T33" s="10">
        <v>43454</v>
      </c>
      <c r="U33" s="14">
        <v>17.96039</v>
      </c>
      <c r="V33" s="14">
        <v>2.4163399999999999</v>
      </c>
      <c r="W33" s="14">
        <v>15.54405</v>
      </c>
      <c r="X33" s="11">
        <v>301</v>
      </c>
      <c r="Y33" s="10">
        <v>43455</v>
      </c>
      <c r="Z33" s="11">
        <v>9945417770</v>
      </c>
      <c r="AA33" s="12" t="s">
        <v>40</v>
      </c>
      <c r="AB33" s="11" t="s">
        <v>41</v>
      </c>
      <c r="AC33" s="12" t="s">
        <v>42</v>
      </c>
      <c r="AD33" s="11" t="s">
        <v>43</v>
      </c>
      <c r="AE33" s="12" t="s">
        <v>44</v>
      </c>
      <c r="AF33" s="14">
        <f t="shared" si="0"/>
        <v>0.17960390000000001</v>
      </c>
      <c r="AG33" s="11" t="s">
        <v>45</v>
      </c>
    </row>
    <row r="34" spans="1:33" x14ac:dyDescent="0.2">
      <c r="A34" s="8">
        <v>8034</v>
      </c>
      <c r="B34" s="9" t="s">
        <v>127</v>
      </c>
      <c r="C34" s="10">
        <v>43455</v>
      </c>
      <c r="D34" s="11">
        <v>109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139</v>
      </c>
      <c r="J34" s="12" t="s">
        <v>140</v>
      </c>
      <c r="K34" s="13" t="s">
        <v>82</v>
      </c>
      <c r="L34" s="11" t="str">
        <f>"000173"</f>
        <v>000173</v>
      </c>
      <c r="M34" s="10">
        <v>42803</v>
      </c>
      <c r="N34" s="11" t="str">
        <f>"000..2"</f>
        <v>000..2</v>
      </c>
      <c r="O34" s="10">
        <v>42895</v>
      </c>
      <c r="P34" s="11" t="str">
        <f>"000206"</f>
        <v>000206</v>
      </c>
      <c r="Q34" s="10">
        <v>42895</v>
      </c>
      <c r="R34" s="11">
        <v>17</v>
      </c>
      <c r="S34" s="11" t="str">
        <f>"008120"</f>
        <v>008120</v>
      </c>
      <c r="T34" s="10">
        <v>43454</v>
      </c>
      <c r="U34" s="14">
        <v>16.977440000000001</v>
      </c>
      <c r="V34" s="14">
        <v>2.2815400000000001</v>
      </c>
      <c r="W34" s="14">
        <v>14.6959</v>
      </c>
      <c r="X34" s="11">
        <v>301</v>
      </c>
      <c r="Y34" s="10">
        <v>43455</v>
      </c>
      <c r="Z34" s="11">
        <v>9945417770</v>
      </c>
      <c r="AA34" s="12" t="s">
        <v>40</v>
      </c>
      <c r="AB34" s="11" t="s">
        <v>41</v>
      </c>
      <c r="AC34" s="12" t="s">
        <v>42</v>
      </c>
      <c r="AD34" s="11" t="s">
        <v>43</v>
      </c>
      <c r="AE34" s="12" t="s">
        <v>44</v>
      </c>
      <c r="AF34" s="14">
        <f t="shared" si="0"/>
        <v>0.16977440000000002</v>
      </c>
      <c r="AG34" s="11" t="s">
        <v>45</v>
      </c>
    </row>
    <row r="35" spans="1:33" x14ac:dyDescent="0.2">
      <c r="A35" s="8">
        <v>8086</v>
      </c>
      <c r="B35" s="9" t="s">
        <v>127</v>
      </c>
      <c r="C35" s="10">
        <v>43461</v>
      </c>
      <c r="D35" s="11">
        <v>109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141</v>
      </c>
      <c r="J35" s="12" t="s">
        <v>142</v>
      </c>
      <c r="K35" s="13" t="s">
        <v>143</v>
      </c>
      <c r="L35" s="11" t="str">
        <f>"000038"</f>
        <v>000038</v>
      </c>
      <c r="M35" s="10">
        <v>43342</v>
      </c>
      <c r="N35" s="11" t="str">
        <f>"000127"</f>
        <v>000127</v>
      </c>
      <c r="O35" s="10">
        <v>43411</v>
      </c>
      <c r="P35" s="11" t="str">
        <f>"000125"</f>
        <v>000125</v>
      </c>
      <c r="Q35" s="10">
        <v>43411</v>
      </c>
      <c r="R35" s="11">
        <v>17</v>
      </c>
      <c r="S35" s="11" t="str">
        <f>"008233"</f>
        <v>008233</v>
      </c>
      <c r="T35" s="10">
        <v>43456</v>
      </c>
      <c r="U35" s="14">
        <v>9.9912500000000009</v>
      </c>
      <c r="V35" s="14">
        <v>1.2375</v>
      </c>
      <c r="W35" s="14">
        <v>8.7537500000000001</v>
      </c>
      <c r="X35" s="11">
        <v>305</v>
      </c>
      <c r="Y35" s="10">
        <v>43461</v>
      </c>
      <c r="Z35" s="11">
        <v>9845185234</v>
      </c>
      <c r="AA35" s="12" t="s">
        <v>144</v>
      </c>
      <c r="AB35" s="11" t="s">
        <v>133</v>
      </c>
      <c r="AC35" s="12" t="s">
        <v>134</v>
      </c>
      <c r="AD35" s="11" t="s">
        <v>94</v>
      </c>
      <c r="AE35" s="12" t="s">
        <v>95</v>
      </c>
      <c r="AF35" s="14">
        <f t="shared" si="0"/>
        <v>9.9912500000000015E-2</v>
      </c>
      <c r="AG35" s="11" t="s">
        <v>106</v>
      </c>
    </row>
    <row r="36" spans="1:33" x14ac:dyDescent="0.2">
      <c r="A36" s="8">
        <v>8448</v>
      </c>
      <c r="B36" s="9" t="s">
        <v>145</v>
      </c>
      <c r="C36" s="10">
        <v>43472</v>
      </c>
      <c r="D36" s="11">
        <v>109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146</v>
      </c>
      <c r="J36" s="12" t="s">
        <v>147</v>
      </c>
      <c r="K36" s="13" t="s">
        <v>82</v>
      </c>
      <c r="L36" s="11" t="str">
        <f>"000189"</f>
        <v>000189</v>
      </c>
      <c r="M36" s="10">
        <v>43439</v>
      </c>
      <c r="N36" s="11" t="str">
        <f>"000053"</f>
        <v>000053</v>
      </c>
      <c r="O36" s="10">
        <v>43439</v>
      </c>
      <c r="P36" s="11" t="str">
        <f>"000199"</f>
        <v>000199</v>
      </c>
      <c r="Q36" s="10">
        <v>43439</v>
      </c>
      <c r="R36" s="11"/>
      <c r="S36" s="11" t="str">
        <f>"008578"</f>
        <v>008578</v>
      </c>
      <c r="T36" s="10">
        <v>43470</v>
      </c>
      <c r="U36" s="14">
        <v>5.14717</v>
      </c>
      <c r="V36" s="14">
        <v>0.45265</v>
      </c>
      <c r="W36" s="14">
        <v>4.6945199999999998</v>
      </c>
      <c r="X36" s="11">
        <v>316</v>
      </c>
      <c r="Y36" s="10">
        <v>43472</v>
      </c>
      <c r="Z36" s="11">
        <v>9483161122</v>
      </c>
      <c r="AA36" s="12" t="s">
        <v>103</v>
      </c>
      <c r="AB36" s="11" t="s">
        <v>133</v>
      </c>
      <c r="AC36" s="12" t="s">
        <v>134</v>
      </c>
      <c r="AD36" s="11" t="s">
        <v>43</v>
      </c>
      <c r="AE36" s="12" t="s">
        <v>44</v>
      </c>
      <c r="AF36" s="14">
        <f t="shared" si="0"/>
        <v>5.1471700000000002E-2</v>
      </c>
      <c r="AG36" s="11" t="s">
        <v>106</v>
      </c>
    </row>
    <row r="37" spans="1:33" x14ac:dyDescent="0.2">
      <c r="A37" s="8">
        <v>9479</v>
      </c>
      <c r="B37" s="9" t="s">
        <v>148</v>
      </c>
      <c r="C37" s="10">
        <v>43530</v>
      </c>
      <c r="D37" s="11">
        <v>109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149</v>
      </c>
      <c r="J37" s="12" t="s">
        <v>150</v>
      </c>
      <c r="K37" s="13" t="s">
        <v>151</v>
      </c>
      <c r="L37" s="11" t="str">
        <f>"000183"</f>
        <v>000183</v>
      </c>
      <c r="M37" s="10">
        <v>43423</v>
      </c>
      <c r="N37" s="11" t="str">
        <f>"000051"</f>
        <v>000051</v>
      </c>
      <c r="O37" s="10">
        <v>43423</v>
      </c>
      <c r="P37" s="11" t="str">
        <f>"000194"</f>
        <v>000194</v>
      </c>
      <c r="Q37" s="10">
        <v>43423</v>
      </c>
      <c r="R37" s="11"/>
      <c r="S37" s="11" t="str">
        <f>"009513"</f>
        <v>009513</v>
      </c>
      <c r="T37" s="10">
        <v>43525</v>
      </c>
      <c r="U37" s="14">
        <v>12.90222</v>
      </c>
      <c r="V37" s="14">
        <v>1.6952</v>
      </c>
      <c r="W37" s="14">
        <v>11.20702</v>
      </c>
      <c r="X37" s="11">
        <v>368</v>
      </c>
      <c r="Y37" s="10">
        <v>43530</v>
      </c>
      <c r="Z37" s="11">
        <v>9483161122</v>
      </c>
      <c r="AA37" s="12" t="s">
        <v>152</v>
      </c>
      <c r="AB37" s="11" t="s">
        <v>133</v>
      </c>
      <c r="AC37" s="12" t="s">
        <v>134</v>
      </c>
      <c r="AD37" s="11" t="s">
        <v>43</v>
      </c>
      <c r="AE37" s="12" t="s">
        <v>44</v>
      </c>
      <c r="AF37" s="14">
        <f t="shared" si="0"/>
        <v>0.1290222</v>
      </c>
      <c r="AG37" s="11" t="s">
        <v>106</v>
      </c>
    </row>
    <row r="38" spans="1:33" x14ac:dyDescent="0.2">
      <c r="A38" s="8">
        <v>9614</v>
      </c>
      <c r="B38" s="9" t="s">
        <v>148</v>
      </c>
      <c r="C38" s="10">
        <v>43535</v>
      </c>
      <c r="D38" s="11">
        <v>109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153</v>
      </c>
      <c r="J38" s="12" t="s">
        <v>154</v>
      </c>
      <c r="K38" s="13" t="s">
        <v>52</v>
      </c>
      <c r="L38" s="11" t="str">
        <f>"000271"</f>
        <v>000271</v>
      </c>
      <c r="M38" s="10">
        <v>43529</v>
      </c>
      <c r="N38" s="11" t="str">
        <f>"000083"</f>
        <v>000083</v>
      </c>
      <c r="O38" s="10">
        <v>43529</v>
      </c>
      <c r="P38" s="11" t="str">
        <f>"000265"</f>
        <v>000265</v>
      </c>
      <c r="Q38" s="10">
        <v>43529</v>
      </c>
      <c r="R38" s="11"/>
      <c r="S38" s="11" t="str">
        <f>"009643"</f>
        <v>009643</v>
      </c>
      <c r="T38" s="10">
        <v>43532</v>
      </c>
      <c r="U38" s="14">
        <v>153.80080000000001</v>
      </c>
      <c r="V38" s="14">
        <v>18.127369999999999</v>
      </c>
      <c r="W38" s="14">
        <v>135.67343</v>
      </c>
      <c r="X38" s="11">
        <v>372</v>
      </c>
      <c r="Y38" s="10">
        <v>43535</v>
      </c>
      <c r="Z38" s="11">
        <v>9483161122</v>
      </c>
      <c r="AA38" s="12" t="s">
        <v>103</v>
      </c>
      <c r="AB38" s="11" t="s">
        <v>155</v>
      </c>
      <c r="AC38" s="12" t="s">
        <v>156</v>
      </c>
      <c r="AD38" s="11" t="s">
        <v>43</v>
      </c>
      <c r="AE38" s="12" t="s">
        <v>44</v>
      </c>
      <c r="AF38" s="14">
        <f t="shared" si="0"/>
        <v>1.538008</v>
      </c>
      <c r="AG38" s="11" t="s">
        <v>106</v>
      </c>
    </row>
    <row r="39" spans="1:33" x14ac:dyDescent="0.2">
      <c r="A39" s="8">
        <v>9615</v>
      </c>
      <c r="B39" s="9" t="s">
        <v>148</v>
      </c>
      <c r="C39" s="10">
        <v>43535</v>
      </c>
      <c r="D39" s="11">
        <v>109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157</v>
      </c>
      <c r="J39" s="12" t="s">
        <v>158</v>
      </c>
      <c r="K39" s="13" t="s">
        <v>52</v>
      </c>
      <c r="L39" s="11" t="str">
        <f>"000272"</f>
        <v>000272</v>
      </c>
      <c r="M39" s="10">
        <v>43529</v>
      </c>
      <c r="N39" s="11" t="str">
        <f>"000085"</f>
        <v>000085</v>
      </c>
      <c r="O39" s="10">
        <v>43529</v>
      </c>
      <c r="P39" s="11" t="str">
        <f>"000266"</f>
        <v>000266</v>
      </c>
      <c r="Q39" s="10">
        <v>43529</v>
      </c>
      <c r="R39" s="11"/>
      <c r="S39" s="11" t="str">
        <f>"009644"</f>
        <v>009644</v>
      </c>
      <c r="T39" s="10">
        <v>43532</v>
      </c>
      <c r="U39" s="14">
        <v>153.8135</v>
      </c>
      <c r="V39" s="14">
        <v>18.125900000000001</v>
      </c>
      <c r="W39" s="14">
        <v>135.6876</v>
      </c>
      <c r="X39" s="11">
        <v>372</v>
      </c>
      <c r="Y39" s="10">
        <v>43535</v>
      </c>
      <c r="Z39" s="11">
        <v>9483161122</v>
      </c>
      <c r="AA39" s="12" t="s">
        <v>103</v>
      </c>
      <c r="AB39" s="11" t="s">
        <v>155</v>
      </c>
      <c r="AC39" s="12" t="s">
        <v>156</v>
      </c>
      <c r="AD39" s="11" t="s">
        <v>43</v>
      </c>
      <c r="AE39" s="12" t="s">
        <v>44</v>
      </c>
      <c r="AF39" s="14">
        <f t="shared" si="0"/>
        <v>1.538135</v>
      </c>
      <c r="AG39" s="11" t="s">
        <v>106</v>
      </c>
    </row>
    <row r="40" spans="1:33" x14ac:dyDescent="0.2">
      <c r="A40" s="8">
        <v>9797</v>
      </c>
      <c r="B40" s="9" t="s">
        <v>148</v>
      </c>
      <c r="C40" s="10">
        <v>43544</v>
      </c>
      <c r="D40" s="11">
        <v>109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159</v>
      </c>
      <c r="J40" s="12" t="s">
        <v>160</v>
      </c>
      <c r="K40" s="13" t="s">
        <v>52</v>
      </c>
      <c r="L40" s="11" t="str">
        <f>"000278"</f>
        <v>000278</v>
      </c>
      <c r="M40" s="10">
        <v>43537</v>
      </c>
      <c r="N40" s="11" t="str">
        <f>"000093"</f>
        <v>000093</v>
      </c>
      <c r="O40" s="10">
        <v>43537</v>
      </c>
      <c r="P40" s="11" t="str">
        <f>"000276"</f>
        <v>000276</v>
      </c>
      <c r="Q40" s="10">
        <v>43537</v>
      </c>
      <c r="R40" s="11"/>
      <c r="S40" s="11" t="str">
        <f>"009865"</f>
        <v>009865</v>
      </c>
      <c r="T40" s="10">
        <v>43544</v>
      </c>
      <c r="U40" s="14">
        <v>66.522530000000003</v>
      </c>
      <c r="V40" s="14">
        <v>7.86416</v>
      </c>
      <c r="W40" s="14">
        <v>58.658369999999998</v>
      </c>
      <c r="X40" s="11">
        <v>381</v>
      </c>
      <c r="Y40" s="10">
        <v>43544</v>
      </c>
      <c r="Z40" s="11">
        <v>9483161122</v>
      </c>
      <c r="AA40" s="12" t="s">
        <v>161</v>
      </c>
      <c r="AB40" s="11" t="s">
        <v>162</v>
      </c>
      <c r="AC40" s="12" t="s">
        <v>163</v>
      </c>
      <c r="AD40" s="11" t="s">
        <v>43</v>
      </c>
      <c r="AE40" s="12" t="s">
        <v>44</v>
      </c>
      <c r="AF40" s="14">
        <f t="shared" si="0"/>
        <v>0.66522530000000002</v>
      </c>
      <c r="AG40" s="11" t="s">
        <v>106</v>
      </c>
    </row>
    <row r="41" spans="1:33" x14ac:dyDescent="0.2">
      <c r="A41" s="8">
        <v>9798</v>
      </c>
      <c r="B41" s="9" t="s">
        <v>148</v>
      </c>
      <c r="C41" s="10">
        <v>43544</v>
      </c>
      <c r="D41" s="11">
        <v>109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164</v>
      </c>
      <c r="J41" s="12" t="s">
        <v>165</v>
      </c>
      <c r="K41" s="13" t="s">
        <v>52</v>
      </c>
      <c r="L41" s="11" t="str">
        <f>"000280"</f>
        <v>000280</v>
      </c>
      <c r="M41" s="10">
        <v>43537</v>
      </c>
      <c r="N41" s="11" t="str">
        <f>"000094"</f>
        <v>000094</v>
      </c>
      <c r="O41" s="10">
        <v>43537</v>
      </c>
      <c r="P41" s="11" t="str">
        <f>"000277"</f>
        <v>000277</v>
      </c>
      <c r="Q41" s="10">
        <v>43537</v>
      </c>
      <c r="R41" s="11"/>
      <c r="S41" s="11" t="str">
        <f>"009866"</f>
        <v>009866</v>
      </c>
      <c r="T41" s="10">
        <v>43544</v>
      </c>
      <c r="U41" s="14">
        <v>66.556749999999994</v>
      </c>
      <c r="V41" s="14">
        <v>7.9040999999999997</v>
      </c>
      <c r="W41" s="14">
        <v>58.652650000000001</v>
      </c>
      <c r="X41" s="11">
        <v>381</v>
      </c>
      <c r="Y41" s="10">
        <v>43544</v>
      </c>
      <c r="Z41" s="11">
        <v>9483161122</v>
      </c>
      <c r="AA41" s="12" t="s">
        <v>103</v>
      </c>
      <c r="AB41" s="11" t="s">
        <v>162</v>
      </c>
      <c r="AC41" s="12" t="s">
        <v>163</v>
      </c>
      <c r="AD41" s="11" t="s">
        <v>43</v>
      </c>
      <c r="AE41" s="12" t="s">
        <v>44</v>
      </c>
      <c r="AF41" s="14">
        <f t="shared" si="0"/>
        <v>0.66556749999999998</v>
      </c>
      <c r="AG41" s="11" t="s">
        <v>106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2019-06-13T08:00:04Z</dcterms:modified>
</cp:coreProperties>
</file>