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56" i="1" l="1"/>
  <c r="S56" i="1"/>
  <c r="P56" i="1"/>
  <c r="N56" i="1"/>
  <c r="L56" i="1"/>
  <c r="AF55" i="1"/>
  <c r="S55" i="1"/>
  <c r="P55" i="1"/>
  <c r="N55" i="1"/>
  <c r="L55" i="1"/>
  <c r="AF54" i="1"/>
  <c r="S54" i="1"/>
  <c r="P54" i="1"/>
  <c r="N54" i="1"/>
  <c r="L54" i="1"/>
  <c r="AF53" i="1"/>
  <c r="S53" i="1"/>
  <c r="P53" i="1"/>
  <c r="N53" i="1"/>
  <c r="L53" i="1"/>
  <c r="AF52" i="1"/>
  <c r="S52" i="1"/>
  <c r="P52" i="1"/>
  <c r="N52" i="1"/>
  <c r="L52" i="1"/>
  <c r="AF51" i="1"/>
  <c r="S51" i="1"/>
  <c r="P51" i="1"/>
  <c r="N51" i="1"/>
  <c r="L51" i="1"/>
  <c r="AF50" i="1"/>
  <c r="S50" i="1"/>
  <c r="P50" i="1"/>
  <c r="N50" i="1"/>
  <c r="L50" i="1"/>
  <c r="AF49" i="1"/>
  <c r="S49" i="1"/>
  <c r="P49" i="1"/>
  <c r="N49" i="1"/>
  <c r="L49" i="1"/>
  <c r="AF48" i="1"/>
  <c r="S48" i="1"/>
  <c r="P48" i="1"/>
  <c r="N48" i="1"/>
  <c r="L48" i="1"/>
  <c r="AF47" i="1"/>
  <c r="S47" i="1"/>
  <c r="P47" i="1"/>
  <c r="N47" i="1"/>
  <c r="L47" i="1"/>
  <c r="AF46" i="1"/>
  <c r="S46" i="1"/>
  <c r="P46" i="1"/>
  <c r="N46" i="1"/>
  <c r="L46" i="1"/>
  <c r="AF45" i="1"/>
  <c r="S45" i="1"/>
  <c r="P45" i="1"/>
  <c r="N45" i="1"/>
  <c r="L45" i="1"/>
  <c r="AF44" i="1"/>
  <c r="S44" i="1"/>
  <c r="P44" i="1"/>
  <c r="N44" i="1"/>
  <c r="L44" i="1"/>
  <c r="AF43" i="1"/>
  <c r="S43" i="1"/>
  <c r="P43" i="1"/>
  <c r="N43" i="1"/>
  <c r="L43" i="1"/>
  <c r="AF42" i="1"/>
  <c r="S42" i="1"/>
  <c r="P42" i="1"/>
  <c r="N42" i="1"/>
  <c r="L42" i="1"/>
  <c r="AF41" i="1"/>
  <c r="S41" i="1"/>
  <c r="P41" i="1"/>
  <c r="N41" i="1"/>
  <c r="L41" i="1"/>
  <c r="AF40" i="1"/>
  <c r="S40" i="1"/>
  <c r="P40" i="1"/>
  <c r="N40" i="1"/>
  <c r="L40" i="1"/>
  <c r="AF39" i="1"/>
  <c r="S39" i="1"/>
  <c r="P39" i="1"/>
  <c r="N39" i="1"/>
  <c r="L39" i="1"/>
  <c r="AF38" i="1"/>
  <c r="S38" i="1"/>
  <c r="P38" i="1"/>
  <c r="N38" i="1"/>
  <c r="L38" i="1"/>
  <c r="AF37" i="1"/>
  <c r="S37" i="1"/>
  <c r="P37" i="1"/>
  <c r="N37" i="1"/>
  <c r="L37" i="1"/>
  <c r="AF36" i="1"/>
  <c r="S36" i="1"/>
  <c r="P36" i="1"/>
  <c r="N36" i="1"/>
  <c r="L36" i="1"/>
  <c r="AF35" i="1"/>
  <c r="S35" i="1"/>
  <c r="P35" i="1"/>
  <c r="N35" i="1"/>
  <c r="L35" i="1"/>
  <c r="S34" i="1"/>
  <c r="P34" i="1"/>
  <c r="N34" i="1"/>
  <c r="L34" i="1"/>
  <c r="S33" i="1"/>
  <c r="P33" i="1"/>
  <c r="N33" i="1"/>
  <c r="L33" i="1"/>
  <c r="S32" i="1"/>
  <c r="P32" i="1"/>
  <c r="N32" i="1"/>
  <c r="L32" i="1"/>
  <c r="S31" i="1"/>
  <c r="P31" i="1"/>
  <c r="N31" i="1"/>
  <c r="L31" i="1"/>
  <c r="S30" i="1"/>
  <c r="P30" i="1"/>
  <c r="N30" i="1"/>
  <c r="L30" i="1"/>
  <c r="S29" i="1"/>
  <c r="P29" i="1"/>
  <c r="N29" i="1"/>
  <c r="L29" i="1"/>
  <c r="S28" i="1"/>
  <c r="P28" i="1"/>
  <c r="N28" i="1"/>
  <c r="L28" i="1"/>
  <c r="S27" i="1"/>
  <c r="P27" i="1"/>
  <c r="N27" i="1"/>
  <c r="L27" i="1"/>
  <c r="S26" i="1"/>
  <c r="P26" i="1"/>
  <c r="N26" i="1"/>
  <c r="L26" i="1"/>
  <c r="S25" i="1"/>
  <c r="P25" i="1"/>
  <c r="N25" i="1"/>
  <c r="L25" i="1"/>
  <c r="S24" i="1"/>
  <c r="P24" i="1"/>
  <c r="N24" i="1"/>
  <c r="L24" i="1"/>
  <c r="S23" i="1"/>
  <c r="P23" i="1"/>
  <c r="N23" i="1"/>
  <c r="L23" i="1"/>
  <c r="S22" i="1"/>
  <c r="P22" i="1"/>
  <c r="N22" i="1"/>
  <c r="L22" i="1"/>
  <c r="S21" i="1"/>
  <c r="P21" i="1"/>
  <c r="N21" i="1"/>
  <c r="L21" i="1"/>
  <c r="S20" i="1"/>
  <c r="P20" i="1"/>
  <c r="N20" i="1"/>
  <c r="L20" i="1"/>
  <c r="S19" i="1"/>
  <c r="P19" i="1"/>
  <c r="N19" i="1"/>
  <c r="L19"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<sst xmlns="http://schemas.openxmlformats.org/spreadsheetml/2006/main" count="803" uniqueCount="239">
  <si>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</si>
  <si>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</si>
  <si>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</si>
  <si>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</si>
  <si>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</si>
  <si>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</si>
  <si>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</si>
  <si>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</si>
  <si>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</si>
  <si>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</si>
  <si>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</si>
  <si>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</si>
  <si>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</si>
  <si>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</si>
  <si>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</si>
  <si>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</si>
  <si>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</si>
  <si>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</si>
  <si>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</si>
  <si>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</si>
  <si>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</si>
  <si>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</si>
  <si>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</si>
  <si>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</si>
  <si>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</si>
  <si>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</si>
  <si>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</si>
  <si>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</si>
  <si>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</si>
  <si>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</si>
  <si>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</si>
  <si>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</si>
  <si>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</si>
  <si>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May</t>
  </si>
  <si>
    <t>Kuvempu Nagara</t>
  </si>
  <si>
    <t>Vidyaranya Pura</t>
  </si>
  <si>
    <t>Byatarayana Pura</t>
  </si>
  <si>
    <t>Yelahanka</t>
  </si>
  <si>
    <t>011-16-000016</t>
  </si>
  <si>
    <t>Maintenance of BBMP Drilled Borewells and Providing Pipelines and Gate Valves in Ward No 11 Kuvempunagara Vidyaranyapura Sub Division</t>
  </si>
  <si>
    <t>Water &amp; Sanitary</t>
  </si>
  <si>
    <t>H. Gangadhar</t>
  </si>
  <si>
    <t>P1771</t>
  </si>
  <si>
    <t>Zone Works - POW Works</t>
  </si>
  <si>
    <t>ddo476</t>
  </si>
  <si>
    <t xml:space="preserve"> Assistant Executive Engineer Vidyaranyapura Yelhanka Zone</t>
  </si>
  <si>
    <t>Pending</t>
  </si>
  <si>
    <t>011-16-000003</t>
  </si>
  <si>
    <t xml:space="preserve">Improvements to Roads and Drains at Singapura Paradise and Surrounding Roads in Ward no 11 Vidyaranyapura Sub Division </t>
  </si>
  <si>
    <t>Roads &amp; Drivablility</t>
  </si>
  <si>
    <t>B B Umesha</t>
  </si>
  <si>
    <t>P3089</t>
  </si>
  <si>
    <t>Special Development works in 7 CMC and 1 TMC area in BBMP</t>
  </si>
  <si>
    <t>011-16-000009</t>
  </si>
  <si>
    <t xml:space="preserve">Improvements to Roads and Drains at Devappa Layout Mariyamma Block Doddachennappa Layout Raghuram Layout in Ward no 11 Vidyaranyapura Sub Division </t>
  </si>
  <si>
    <t>K Shankar Reddy</t>
  </si>
  <si>
    <t>011-16-000004</t>
  </si>
  <si>
    <t xml:space="preserve">Improvements to Roads and Drains at Varadarajanagar and Surrounding Roads in Ward no 11 Vidyaranyapura Sub Division </t>
  </si>
  <si>
    <t>K Anil KUmar</t>
  </si>
  <si>
    <t>011-16-000002</t>
  </si>
  <si>
    <t xml:space="preserve">Improvements to Roads and Drains at Vinayakanagar in Ward no 11 Vidyaranyapura Sub Division </t>
  </si>
  <si>
    <t>June</t>
  </si>
  <si>
    <t>011-18-000017</t>
  </si>
  <si>
    <t>IMPROVEMENTS TO ROADS, DRAINS AND OTHER WORKS AT M S PALYA CROSS ROADS AND SURROUNDINGS IN WARD NO 11 KUVEMPUNAGARA</t>
  </si>
  <si>
    <t>Executive Engineer,</t>
  </si>
  <si>
    <t>P1878</t>
  </si>
  <si>
    <t>18per - Works (Bhagyajyothi, Sooru / Neeru Yojane and General) (54 Lakhs / New Wards)</t>
  </si>
  <si>
    <t>Spill Over</t>
  </si>
  <si>
    <t>011-18-000016</t>
  </si>
  <si>
    <t>IMPROVEMENTS TO ROADS, DRAINS AND OTHER WORKS AT M S PALYA HUNISEMARA SURROUNDINGS IN WARD NO 11 KUVEMPUNAGARA</t>
  </si>
  <si>
    <t>011-18-000023</t>
  </si>
  <si>
    <t>IMPROVEMENTS TO ROADS AND DRAINS AT ASHRAYA LAYOUT CROSS ROADS IN WARD NO 11 KUVEMPUNAGARA</t>
  </si>
  <si>
    <t>011-18-000011</t>
  </si>
  <si>
    <t>IMPROVEMENTS TO ROADS AND DRAINS AT ASHRAYA LAYOUT ROADS IN WARD NO 11 KUVEMPUNAGARA</t>
  </si>
  <si>
    <t>Executive Engineer</t>
  </si>
  <si>
    <t>011-16-000017</t>
  </si>
  <si>
    <t>Providing Electrical Poles and Street Lights in Ward No 11 Kuvempunagara Vidyaranyapura Sub Division</t>
  </si>
  <si>
    <t>Footpaths &amp; Walkability</t>
  </si>
  <si>
    <t>Pradeep kumar S.N. Propritar of M/S Ganga Entarprises</t>
  </si>
  <si>
    <t>ddo617</t>
  </si>
  <si>
    <t xml:space="preserve"> Executive Engineer Electrical Yelhanka Zone</t>
  </si>
  <si>
    <t>011-18-000007</t>
  </si>
  <si>
    <t>IMPROVEMENTS TO ROADS, DRAINS AND OTHER WORKS SINGAPURA BEHIND GOVT SCHOOL ROAD AND SURROUNDING AREA IN WARD NO 11 KUVEMPUNAGARA</t>
  </si>
  <si>
    <t>011-18-000008</t>
  </si>
  <si>
    <t>IMPROVEMENTS TO ROADS, DRAINS AND OTHER WORKS AT SINGAPURA CROSS ROAD AND SURROUNDING AREA IN WARD NO 11 KUVEMPUNAGARA</t>
  </si>
  <si>
    <t>011-15-000051</t>
  </si>
  <si>
    <t xml:space="preserve">Improvements to Balance Roads and Drains at Kuvempunagar 2nd Stage and surrounding roads in ward no 11 Vidyaranyapura Sub Division </t>
  </si>
  <si>
    <t>Jayaprakash T</t>
  </si>
  <si>
    <t>P3075</t>
  </si>
  <si>
    <t>Special comprehensive development works in Bangalore city (Bangalore city in charge Minister Discretionary Grants)</t>
  </si>
  <si>
    <t>011-15-000050</t>
  </si>
  <si>
    <t xml:space="preserve">Improvements to Balance Roads and Drains at Kuvempunagar 1st Stage and surrounding roads in ward no 11 Vidyaranyapura Sub Division </t>
  </si>
  <si>
    <t>Jayaprakash</t>
  </si>
  <si>
    <t>July</t>
  </si>
  <si>
    <t>011-16-000013</t>
  </si>
  <si>
    <t>Engaging Tractor and Labour for Removal of Silt and Over burden Earth in Ward No 11 Kuvempunagara Vidyaranyapura Sub Division</t>
  </si>
  <si>
    <t>Health &amp; Sanitation</t>
  </si>
  <si>
    <t>K. sudhakar reddy</t>
  </si>
  <si>
    <t>011-15-000026</t>
  </si>
  <si>
    <t>Improvements to roads at Ashraya Layout Main road and cross roads in ward no 11 (Kuvempurnagara) Vidyaranyapura Sub Division</t>
  </si>
  <si>
    <t>N Thirunagendra</t>
  </si>
  <si>
    <t>P2178</t>
  </si>
  <si>
    <t>Works sanctioned by Dy. Mayor</t>
  </si>
  <si>
    <t>011-17-000021</t>
  </si>
  <si>
    <t>Repairs to Govt School Varadarajnagar and Other School in ward No 11 Kuvempunagara in Vidyaranyapura Sub Division</t>
  </si>
  <si>
    <t>Other Ward Works</t>
  </si>
  <si>
    <t>S. Venkateshappa</t>
  </si>
  <si>
    <t>011-16-000008</t>
  </si>
  <si>
    <t xml:space="preserve">Improvements to Roads and Drains at Kuvempunagar IInd Stage in Ward no 11 Vidyaranyapura Sub Division </t>
  </si>
  <si>
    <t>Ramesh anand</t>
  </si>
  <si>
    <t>011-16-000012</t>
  </si>
  <si>
    <t>Operation and maintenance of Street lights in Kuvempunagara Ward W No 11 Package Y 11</t>
  </si>
  <si>
    <t>Mohan KS Prof of M/s Vijayalkshmi Associates</t>
  </si>
  <si>
    <t>P0300</t>
  </si>
  <si>
    <t>M and R to Street Lights - Replacement of Burnt Bulbs etc. (Package)</t>
  </si>
  <si>
    <t>011-17-000045</t>
  </si>
  <si>
    <t>Annual maintenance of electrical Equipments and maintenance of Crematorium at Medi Agrahara Lakshmipura in Ward No 11</t>
  </si>
  <si>
    <t>S Bettaswamy prof of S.B.E.S Electricals</t>
  </si>
  <si>
    <t>P0287</t>
  </si>
  <si>
    <t>M and R to Electrical Crematoria</t>
  </si>
  <si>
    <t>011-12-000036</t>
  </si>
  <si>
    <t>Improvements to Road Construction of Culverts and Drains in Varadarajanagara Gangamma temple Road in ward No 11</t>
  </si>
  <si>
    <t>S.M. Varadharajappa</t>
  </si>
  <si>
    <t>304-15-000269</t>
  </si>
  <si>
    <t xml:space="preserve">Package I - A) Improements of roads and drain from Kuvempunagara main road (via ward offie), B) Kuvempunagara 2nd Stage from busstop to Singapura Circle (via hosabalunagara) and C) Singapura-Hosabalunagara to Abigere main road in ward no. 11, Vidyaranyapura sub division. </t>
  </si>
  <si>
    <t>C.G.Chandrappa</t>
  </si>
  <si>
    <t>P1732</t>
  </si>
  <si>
    <t>Road network arterial roads (Project Division and Major Road Division)</t>
  </si>
  <si>
    <t>011-16-000018</t>
  </si>
  <si>
    <t>Earthwork and other Works for Temporary Immersion Tank for Lord Ganesh Idols at Singapura near Ward Office in Ward No 11 Kuvempungara Vidyaranyapura Sub Division</t>
  </si>
  <si>
    <t>Venkatesh S</t>
  </si>
  <si>
    <t>011-15-000007</t>
  </si>
  <si>
    <t>Improvements and Asphalting to Teachres Layout and Raghavendra Colony Cross Roads in Ward No11 Kuvempunagara Vidyaranyapura Sub Division</t>
  </si>
  <si>
    <t>B Shankar</t>
  </si>
  <si>
    <t>011-15-000064</t>
  </si>
  <si>
    <t>Desilting of storm water drain in ward no 11 (Kuvempunagara) Vidyaranyapura sub division</t>
  </si>
  <si>
    <t>Technical manager, KRIDL</t>
  </si>
  <si>
    <t>P2200</t>
  </si>
  <si>
    <t>Works to be taken up under 13th Finance Commission</t>
  </si>
  <si>
    <t>August</t>
  </si>
  <si>
    <t>011-18-000024</t>
  </si>
  <si>
    <t>IMPROVEMENTS TO ROADS AND DRAINS AT HOSABALUNAGARA MAIN ROADS IN WARD NO 11 KUVEMPUNAGARA</t>
  </si>
  <si>
    <t>011-18-000019</t>
  </si>
  <si>
    <t>IMPROVEMENTS TO ROADS, DRAINS AND OTHER WORKS AT KUVEMPUNAGARA 1ST STAGE CROSS AND SURROUNDINGS IN WARD NO 11 KUVEMPUNAGARA</t>
  </si>
  <si>
    <t>011-18-000009</t>
  </si>
  <si>
    <t>IMPROVEMENTS TO ROADS, DRIANS AND OTHER WORKS AT KUVEMPUNAGARA 2ND STAGE MAIN ROAD IN WARD NO 11 KUVEMPUNAGARA</t>
  </si>
  <si>
    <t>011-18-000020</t>
  </si>
  <si>
    <t>IMPROVEMENTS TO ROADS, DRAINS AND OTHER WORKS AT KUVEMPUNAGARA 2ND STAGE CROSS ROADS AND SURROUNDINGS IN WARD NO 11 KUVEMPUNAGARA</t>
  </si>
  <si>
    <t>011-17-000035</t>
  </si>
  <si>
    <t xml:space="preserve">Package 3 Construction of Hospital building at ward No-11 Kuvempunagara in Byatarayanapura Assembly Constituency, Yelahanka Zone. Construction of Hospital Building at Ward No 08 Kodigehalli, Construction of Hospital Building at Ward No.07 Byatarayanapura </t>
  </si>
  <si>
    <t>K.Gopireddy</t>
  </si>
  <si>
    <t>P3106</t>
  </si>
  <si>
    <t>Nagarothana Works</t>
  </si>
  <si>
    <t>ddo235</t>
  </si>
  <si>
    <t xml:space="preserve"> Assistant Executive Engineer Project-1 Yelahanka Zone</t>
  </si>
  <si>
    <t>September</t>
  </si>
  <si>
    <t>011-18-000018</t>
  </si>
  <si>
    <t>IMPROVEMENTS TO ROADS, DRAINS AND OTHER WORKS AT VINAYAKANAGARA 4TH TO 6TH CROSS ROADS SURROUNDINGS IN WARD NO 11 KUVEMPUNAGARA</t>
  </si>
  <si>
    <t>Executive Engineer Karnataka Rural Infrastructure Development Ltd</t>
  </si>
  <si>
    <t>Current</t>
  </si>
  <si>
    <t>011-18-000015</t>
  </si>
  <si>
    <t>IMPROVEMENTS TO ROADS, DRAINS AND OTHER WORKS AT VINAYAKANAGARA 1ST TO 3RD CROSS ROAD SURROUNDINGS IN WARD NO 11 KUVEMPUNAGARA</t>
  </si>
  <si>
    <t>011-17-000041</t>
  </si>
  <si>
    <t>Providing LED Street lights as a Pilot Project in ward no11</t>
  </si>
  <si>
    <t>M/s Sri Lakshmi Varadaraja Electrical Stores</t>
  </si>
  <si>
    <t>P3142</t>
  </si>
  <si>
    <t>LED Pilot Project in Ward No.9, 2, 11, 41, 43, 27, 52, 32, 57, 31, 68, 72,(Each Rs.25Lakhs Ward No.75(Rs.50 Lakhs)</t>
  </si>
  <si>
    <t>October</t>
  </si>
  <si>
    <t>011-16-000029</t>
  </si>
  <si>
    <t>Providing Flooring to School Building at Vinayakanagara Kuvempunagara and Singapura School in ward no 11 (Kuvempunagara) Vidyaranyapura Sub Division</t>
  </si>
  <si>
    <t>Public Amenities</t>
  </si>
  <si>
    <t>P2415</t>
  </si>
  <si>
    <t>Reserve fund for TandF Committee</t>
  </si>
  <si>
    <t>011-16-000028</t>
  </si>
  <si>
    <t>Improvements to CC Road at Naidu Layout in ward no 11 (Kuvempunagara) Vidyaranyapura Sub Division</t>
  </si>
  <si>
    <t>011-16-000010</t>
  </si>
  <si>
    <t>Improvements to Roads and Drains at Teachers Layout Raghavendra layout Balaji Layout in Ward no 11 Vidyaranyapura Sub Division</t>
  </si>
  <si>
    <t>K. Anil kumar</t>
  </si>
  <si>
    <t>011-16-000011</t>
  </si>
  <si>
    <t>Improvements to Balance Left Over Roads and Drains at Ward no 11 Vidyaranyapura Sub Division</t>
  </si>
  <si>
    <t xml:space="preserve">K. Anil kumar </t>
  </si>
  <si>
    <t>December</t>
  </si>
  <si>
    <t>011-16-000027</t>
  </si>
  <si>
    <t>Repair of Anganavadi building at Varadarajanagara Vidyaranyapura Ramachandrapura Singapura Kuvempunagara and MS palya in ward no 11 (Kuvempunagara) Vidyaranyapura Sub Division</t>
  </si>
  <si>
    <t>011-16-000025</t>
  </si>
  <si>
    <t>Construction of Culverts at Kuvempunagara 1st Stage and Varadarajanagara Areas in ward no 11 (Kuvempunagara) Vidyaranyapura Sub Division</t>
  </si>
  <si>
    <t>011-16-000026</t>
  </si>
  <si>
    <t>Improvements to Varadarajanagara Burial Grounds in ward no 11 (Kuvempunagara) Vidyaranyapura Sub Division</t>
  </si>
  <si>
    <t>011-17-000008</t>
  </si>
  <si>
    <t>Improvements to roads, drains and construction of Culverts at Singapura near Govt School Surroundings in ward no 11 (Kuvempunagar) in Vidyaranyapura Sub Division</t>
  </si>
  <si>
    <t>M.D. Srinivas</t>
  </si>
  <si>
    <t>P3165</t>
  </si>
  <si>
    <t>Special Development works in ward No.11, 41, 27, 43, 52, 57 and 9 (each ward Rs.200.00 lakhs)</t>
  </si>
  <si>
    <t>011-17-000027</t>
  </si>
  <si>
    <t>Improvements to Roads and Drains and Construction of Culverts at Bharatnagar Marutinagar surrounding area in Ward No 11 Kuvempunagara in Vidyaranyapura Sub Division</t>
  </si>
  <si>
    <t>Gopireddy</t>
  </si>
  <si>
    <t>January</t>
  </si>
  <si>
    <t>011-18-000102</t>
  </si>
  <si>
    <t xml:space="preserve">Estimate for levelling of site and construction of retaining wall to Indira kitchen at BWSSB retaining in sy no.109 singapura in ward no.11 </t>
  </si>
  <si>
    <t>Storm Water Drains</t>
  </si>
  <si>
    <t xml:space="preserve">Executive Engineer, Karnataka Rural Infrastructure development Ltd, </t>
  </si>
  <si>
    <t>011-18-000101</t>
  </si>
  <si>
    <t>Estimate for levelling of site chain link fencing and construction of ramp, water sanitary pipelining and other works to Indira canteen near ward office singapura in ward no.11</t>
  </si>
  <si>
    <t>Indira Canteen</t>
  </si>
  <si>
    <t>011-18-000190</t>
  </si>
  <si>
    <t>Providing LED Street lights control wire control Switches in Kuvempunagara Ward No 11</t>
  </si>
  <si>
    <t xml:space="preserve">Technical Manger </t>
  </si>
  <si>
    <t>P3290</t>
  </si>
  <si>
    <t>14th Finance Commission Works - Providing Street Lights and Maintenance</t>
  </si>
  <si>
    <t>February</t>
  </si>
  <si>
    <t>011-18-000057</t>
  </si>
  <si>
    <t>Maintenance of Crematoriums and Burial Grounds in ward no 11 (Kuvempunagara) Vidyaranyapura Sub Division</t>
  </si>
  <si>
    <t>Executive Engineer M/s KRIDL</t>
  </si>
  <si>
    <t>P3291</t>
  </si>
  <si>
    <t>14th Fin  -Maintenance of Cremotorium, Burial Grounds</t>
  </si>
  <si>
    <t>011-18-000056</t>
  </si>
  <si>
    <t>Maintenance of Community Property in ward no 11 (Kuvempunagara) Vidyaranyapura Sub Division</t>
  </si>
  <si>
    <t>Executive Engineer, M/s KRIDL</t>
  </si>
  <si>
    <t>P3292</t>
  </si>
  <si>
    <t>14th Finance Commission Works - Community Property Maintenance (including Parks)</t>
  </si>
  <si>
    <t>011-18-000055</t>
  </si>
  <si>
    <t>14th Finance Commission Works Solid Waste Management in ward no 11 (Kuvempunagara) Vidyaranyapura Sub Division</t>
  </si>
  <si>
    <t>P3298</t>
  </si>
  <si>
    <t>14th Finance Commission Works - SWM Works</t>
  </si>
  <si>
    <t>011-17-000003</t>
  </si>
  <si>
    <t>Improvements drain and construction of Culverts at Singapura village cross roads and surrounding area in ward no 11 (Kuvempunagar) in Vidyaranyapura Sub Division</t>
  </si>
  <si>
    <t>Aswathnarayana</t>
  </si>
  <si>
    <t>P3167</t>
  </si>
  <si>
    <t>Special Development works in ward No.119, 124, 131, 133, 157, 171, 177, 181, 192, 184, 185, 194, 155, 105, 90, 91, 92, 98, 09, 11, 02, 65 (Rs.100 lakhs per ward)</t>
  </si>
  <si>
    <t>March</t>
  </si>
  <si>
    <t>011-15-000045</t>
  </si>
  <si>
    <t>Emergency Repairs to the Panel Board of Electrical Cremetorium at Medi Agrahara Lakshmi Pura</t>
  </si>
  <si>
    <t>M/s Chowdeshwari Electricals</t>
  </si>
  <si>
    <t>011-15-000047</t>
  </si>
  <si>
    <t>Repairs to Borewell and Water Pump at Medi Agrahara crematoria Lakshmipura</t>
  </si>
  <si>
    <t>Ningegowd prof of M/sChowdeshwari Electricals</t>
  </si>
  <si>
    <t>011-17-000025</t>
  </si>
  <si>
    <t>Improvements to Roads drains and construction of culverts at Ashray layout cross roads in Ward No 11 Kuvempunagara in Vidyaranyapura Sub Division</t>
  </si>
  <si>
    <t>Sharath 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</si>
</sst>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tabSelected="1" workbookViewId="0">
      <pane ySplit="1" topLeftCell="A2" activePane="bottomLeft" state="frozen"/>
      <selection activeCell="H1" sqref="H1"/>
      <selection pane="bottomLeft" activeCell="D9" sqref="D9"/>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801</v>
      </c>
      <c r="B2" s="9" t="s">
        <v>33</v>
      </c>
      <c r="C2" s="10">
        <v>43225</v>
      </c>
      <c r="D2" s="11">
        <v>11</v>
      </c>
      <c r="E2" s="12" t="s">
        <v>34</v>
      </c>
      <c r="F2" s="12" t="s">
        <v>35</v>
      </c>
      <c r="G2" s="12" t="s">
        <v>36</v>
      </c>
      <c r="H2" s="12" t="s">
        <v>37</v>
      </c>
      <c r="I2" s="11" t="s">
        <v>38</v>
      </c>
      <c r="J2" s="12" t="s">
        <v>39</v>
      </c>
      <c r="K2" s="13" t="s">
        <v>40</v>
      </c>
      <c r="L2" s="11" t="str">
        <f>"000162"</f>
        <v>000162</v>
      </c>
      <c r="M2" s="10">
        <v>42430</v>
      </c>
      <c r="N2" s="11" t="str">
        <f>"000011"</f>
        <v>000011</v>
      </c>
      <c r="O2" s="10">
        <v>42853</v>
      </c>
      <c r="P2" s="11" t="str">
        <f>"000031"</f>
        <v>000031</v>
      </c>
      <c r="Q2" s="10">
        <v>42853</v>
      </c>
      <c r="R2" s="11">
        <v>16</v>
      </c>
      <c r="S2" s="11" t="str">
        <f>"001073"</f>
        <v>001073</v>
      </c>
      <c r="T2" s="10">
        <v>43224</v>
      </c>
      <c r="U2" s="14">
        <v>13.71988</v>
      </c>
      <c r="V2" s="14">
        <v>0.83692</v>
      </c>
      <c r="W2" s="14">
        <v>12.882960000000001</v>
      </c>
      <c r="X2" s="11">
        <v>38</v>
      </c>
      <c r="Y2" s="10">
        <v>43225</v>
      </c>
      <c r="Z2" s="11">
        <v>9845119822</v>
      </c>
      <c r="AA2" s="12" t="s">
        <v>41</v>
      </c>
      <c r="AB2" s="11" t="s">
        <v>42</v>
      </c>
      <c r="AC2" s="12" t="s">
        <v>43</v>
      </c>
      <c r="AD2" s="11" t="s">
        <v>44</v>
      </c>
      <c r="AE2" s="12" t="s">
        <v>45</v>
      </c>
      <c r="AF2" s="14">
        <v>0.13719880000000001</v>
      </c>
      <c r="AG2" s="11" t="s">
        <v>46</v>
      </c>
    </row>
    <row r="3" spans="1:33" x14ac:dyDescent="0.2">
      <c r="A3" s="8">
        <v>1162</v>
      </c>
      <c r="B3" s="9" t="s">
        <v>33</v>
      </c>
      <c r="C3" s="10">
        <v>43238</v>
      </c>
      <c r="D3" s="11">
        <v>11</v>
      </c>
      <c r="E3" s="12" t="s">
        <v>34</v>
      </c>
      <c r="F3" s="12" t="s">
        <v>35</v>
      </c>
      <c r="G3" s="12" t="s">
        <v>36</v>
      </c>
      <c r="H3" s="12" t="s">
        <v>37</v>
      </c>
      <c r="I3" s="11" t="s">
        <v>47</v>
      </c>
      <c r="J3" s="12" t="s">
        <v>48</v>
      </c>
      <c r="K3" s="13" t="s">
        <v>49</v>
      </c>
      <c r="L3" s="11" t="str">
        <f>"000041"</f>
        <v>000041</v>
      </c>
      <c r="M3" s="10">
        <v>42516</v>
      </c>
      <c r="N3" s="11" t="str">
        <f>"000115"</f>
        <v>000115</v>
      </c>
      <c r="O3" s="10">
        <v>42581</v>
      </c>
      <c r="P3" s="11" t="str">
        <f>"000396"</f>
        <v>000396</v>
      </c>
      <c r="Q3" s="10">
        <v>42581</v>
      </c>
      <c r="R3" s="11">
        <v>16</v>
      </c>
      <c r="S3" s="11" t="str">
        <f>"001411"</f>
        <v>001411</v>
      </c>
      <c r="T3" s="10">
        <v>43236</v>
      </c>
      <c r="U3" s="14">
        <v>29.657399999999999</v>
      </c>
      <c r="V3" s="14">
        <v>2.4344899999999998</v>
      </c>
      <c r="W3" s="14">
        <v>27.222909999999999</v>
      </c>
      <c r="X3" s="11">
        <v>52</v>
      </c>
      <c r="Y3" s="10">
        <v>43238</v>
      </c>
      <c r="Z3" s="11">
        <v>9886213563</v>
      </c>
      <c r="AA3" s="12" t="s">
        <v>50</v>
      </c>
      <c r="AB3" s="11" t="s">
        <v>51</v>
      </c>
      <c r="AC3" s="12" t="s">
        <v>52</v>
      </c>
      <c r="AD3" s="11" t="s">
        <v>44</v>
      </c>
      <c r="AE3" s="12" t="s">
        <v>45</v>
      </c>
      <c r="AF3" s="14">
        <v>0.296574</v>
      </c>
      <c r="AG3" s="11" t="s">
        <v>46</v>
      </c>
    </row>
    <row r="4" spans="1:33" x14ac:dyDescent="0.2">
      <c r="A4" s="8">
        <v>1163</v>
      </c>
      <c r="B4" s="9" t="s">
        <v>33</v>
      </c>
      <c r="C4" s="10">
        <v>43238</v>
      </c>
      <c r="D4" s="11">
        <v>11</v>
      </c>
      <c r="E4" s="12" t="s">
        <v>34</v>
      </c>
      <c r="F4" s="12" t="s">
        <v>35</v>
      </c>
      <c r="G4" s="12" t="s">
        <v>36</v>
      </c>
      <c r="H4" s="12" t="s">
        <v>37</v>
      </c>
      <c r="I4" s="11" t="s">
        <v>53</v>
      </c>
      <c r="J4" s="12" t="s">
        <v>54</v>
      </c>
      <c r="K4" s="13" t="s">
        <v>49</v>
      </c>
      <c r="L4" s="11" t="str">
        <f>"000192"</f>
        <v>000192</v>
      </c>
      <c r="M4" s="10">
        <v>42461</v>
      </c>
      <c r="N4" s="11" t="str">
        <f>"000125"</f>
        <v>000125</v>
      </c>
      <c r="O4" s="10">
        <v>42608</v>
      </c>
      <c r="P4" s="11" t="str">
        <f>"000417"</f>
        <v>000417</v>
      </c>
      <c r="Q4" s="10">
        <v>42609</v>
      </c>
      <c r="R4" s="11">
        <v>16</v>
      </c>
      <c r="S4" s="11" t="str">
        <f>"001423"</f>
        <v>001423</v>
      </c>
      <c r="T4" s="10">
        <v>43236</v>
      </c>
      <c r="U4" s="14">
        <v>45.886899999999997</v>
      </c>
      <c r="V4" s="14">
        <v>3.1720999999999999</v>
      </c>
      <c r="W4" s="14">
        <v>42.714799999999997</v>
      </c>
      <c r="X4" s="11">
        <v>52</v>
      </c>
      <c r="Y4" s="10">
        <v>43238</v>
      </c>
      <c r="Z4" s="11">
        <v>8553121546</v>
      </c>
      <c r="AA4" s="12" t="s">
        <v>55</v>
      </c>
      <c r="AB4" s="11" t="s">
        <v>51</v>
      </c>
      <c r="AC4" s="12" t="s">
        <v>52</v>
      </c>
      <c r="AD4" s="11" t="s">
        <v>44</v>
      </c>
      <c r="AE4" s="12" t="s">
        <v>45</v>
      </c>
      <c r="AF4" s="14">
        <v>0.45886899999999997</v>
      </c>
      <c r="AG4" s="11" t="s">
        <v>46</v>
      </c>
    </row>
    <row r="5" spans="1:33" x14ac:dyDescent="0.2">
      <c r="A5" s="8">
        <v>1483</v>
      </c>
      <c r="B5" s="9" t="s">
        <v>33</v>
      </c>
      <c r="C5" s="10">
        <v>43251</v>
      </c>
      <c r="D5" s="11">
        <v>11</v>
      </c>
      <c r="E5" s="12" t="s">
        <v>34</v>
      </c>
      <c r="F5" s="12" t="s">
        <v>35</v>
      </c>
      <c r="G5" s="12" t="s">
        <v>36</v>
      </c>
      <c r="H5" s="12" t="s">
        <v>37</v>
      </c>
      <c r="I5" s="11" t="s">
        <v>56</v>
      </c>
      <c r="J5" s="12" t="s">
        <v>57</v>
      </c>
      <c r="K5" s="13" t="s">
        <v>49</v>
      </c>
      <c r="L5" s="11" t="str">
        <f>"000033"</f>
        <v>000033</v>
      </c>
      <c r="M5" s="10">
        <v>42510</v>
      </c>
      <c r="N5" s="11" t="str">
        <f>"000122"</f>
        <v>000122</v>
      </c>
      <c r="O5" s="10">
        <v>42607</v>
      </c>
      <c r="P5" s="11" t="str">
        <f>"000433"</f>
        <v>000433</v>
      </c>
      <c r="Q5" s="10">
        <v>42613</v>
      </c>
      <c r="R5" s="11">
        <v>16</v>
      </c>
      <c r="S5" s="11" t="str">
        <f>"001942"</f>
        <v>001942</v>
      </c>
      <c r="T5" s="10">
        <v>43246</v>
      </c>
      <c r="U5" s="14">
        <v>43.988</v>
      </c>
      <c r="V5" s="14">
        <v>3.1867100000000002</v>
      </c>
      <c r="W5" s="14">
        <v>40.801290000000002</v>
      </c>
      <c r="X5" s="11">
        <v>67</v>
      </c>
      <c r="Y5" s="10">
        <v>43251</v>
      </c>
      <c r="Z5" s="11">
        <v>9845818296</v>
      </c>
      <c r="AA5" s="12" t="s">
        <v>58</v>
      </c>
      <c r="AB5" s="11" t="s">
        <v>51</v>
      </c>
      <c r="AC5" s="12" t="s">
        <v>52</v>
      </c>
      <c r="AD5" s="11" t="s">
        <v>44</v>
      </c>
      <c r="AE5" s="12" t="s">
        <v>45</v>
      </c>
      <c r="AF5" s="14">
        <v>0.43987999999999999</v>
      </c>
      <c r="AG5" s="11" t="s">
        <v>46</v>
      </c>
    </row>
    <row r="6" spans="1:33" x14ac:dyDescent="0.2">
      <c r="A6" s="8">
        <v>1484</v>
      </c>
      <c r="B6" s="9" t="s">
        <v>33</v>
      </c>
      <c r="C6" s="10">
        <v>43251</v>
      </c>
      <c r="D6" s="11">
        <v>11</v>
      </c>
      <c r="E6" s="12" t="s">
        <v>34</v>
      </c>
      <c r="F6" s="12" t="s">
        <v>35</v>
      </c>
      <c r="G6" s="12" t="s">
        <v>36</v>
      </c>
      <c r="H6" s="12" t="s">
        <v>37</v>
      </c>
      <c r="I6" s="11" t="s">
        <v>59</v>
      </c>
      <c r="J6" s="12" t="s">
        <v>60</v>
      </c>
      <c r="K6" s="13" t="s">
        <v>49</v>
      </c>
      <c r="L6" s="11" t="str">
        <f>"000040"</f>
        <v>000040</v>
      </c>
      <c r="M6" s="10">
        <v>42516</v>
      </c>
      <c r="N6" s="11" t="str">
        <f>"000118"</f>
        <v>000118</v>
      </c>
      <c r="O6" s="10">
        <v>42602</v>
      </c>
      <c r="P6" s="11" t="str">
        <f>"000410"</f>
        <v>000410</v>
      </c>
      <c r="Q6" s="10">
        <v>42605</v>
      </c>
      <c r="R6" s="11">
        <v>16</v>
      </c>
      <c r="S6" s="11" t="str">
        <f>"002062"</f>
        <v>002062</v>
      </c>
      <c r="T6" s="10">
        <v>43250</v>
      </c>
      <c r="U6" s="14">
        <v>39.575200000000002</v>
      </c>
      <c r="V6" s="14">
        <v>2.7376999999999998</v>
      </c>
      <c r="W6" s="14">
        <v>36.837499999999999</v>
      </c>
      <c r="X6" s="11">
        <v>67</v>
      </c>
      <c r="Y6" s="10">
        <v>43251</v>
      </c>
      <c r="Z6" s="11">
        <v>9886213563</v>
      </c>
      <c r="AA6" s="12" t="s">
        <v>50</v>
      </c>
      <c r="AB6" s="11" t="s">
        <v>51</v>
      </c>
      <c r="AC6" s="12" t="s">
        <v>52</v>
      </c>
      <c r="AD6" s="11" t="s">
        <v>44</v>
      </c>
      <c r="AE6" s="12" t="s">
        <v>45</v>
      </c>
      <c r="AF6" s="14">
        <v>0.39575200000000005</v>
      </c>
      <c r="AG6" s="11" t="s">
        <v>46</v>
      </c>
    </row>
    <row r="7" spans="1:33" x14ac:dyDescent="0.2">
      <c r="A7" s="8">
        <v>1727</v>
      </c>
      <c r="B7" s="9" t="s">
        <v>61</v>
      </c>
      <c r="C7" s="10">
        <v>43255</v>
      </c>
      <c r="D7" s="11">
        <v>11</v>
      </c>
      <c r="E7" s="12" t="s">
        <v>34</v>
      </c>
      <c r="F7" s="12" t="s">
        <v>35</v>
      </c>
      <c r="G7" s="12" t="s">
        <v>36</v>
      </c>
      <c r="H7" s="12" t="s">
        <v>37</v>
      </c>
      <c r="I7" s="11" t="s">
        <v>62</v>
      </c>
      <c r="J7" s="12" t="s">
        <v>63</v>
      </c>
      <c r="K7" s="13" t="s">
        <v>49</v>
      </c>
      <c r="L7" s="11" t="str">
        <f>"000123"</f>
        <v>000123</v>
      </c>
      <c r="M7" s="10">
        <v>43180</v>
      </c>
      <c r="N7" s="11" t="str">
        <f>"000012"</f>
        <v>000012</v>
      </c>
      <c r="O7" s="10">
        <v>43220</v>
      </c>
      <c r="P7" s="11" t="str">
        <f>"000008"</f>
        <v>000008</v>
      </c>
      <c r="Q7" s="10">
        <v>43225</v>
      </c>
      <c r="R7" s="11">
        <v>18</v>
      </c>
      <c r="S7" s="11" t="str">
        <f>"001807"</f>
        <v>001807</v>
      </c>
      <c r="T7" s="10">
        <v>43244</v>
      </c>
      <c r="U7" s="14">
        <v>24.967929999999999</v>
      </c>
      <c r="V7" s="14">
        <v>2.3320099999999999</v>
      </c>
      <c r="W7" s="14">
        <v>22.635919999999999</v>
      </c>
      <c r="X7" s="11">
        <v>69</v>
      </c>
      <c r="Y7" s="10">
        <v>43255</v>
      </c>
      <c r="Z7" s="11">
        <v>9449863065</v>
      </c>
      <c r="AA7" s="12" t="s">
        <v>64</v>
      </c>
      <c r="AB7" s="11" t="s">
        <v>65</v>
      </c>
      <c r="AC7" s="12" t="s">
        <v>66</v>
      </c>
      <c r="AD7" s="11" t="s">
        <v>44</v>
      </c>
      <c r="AE7" s="12" t="s">
        <v>45</v>
      </c>
      <c r="AF7" s="14">
        <v>0.24967929999999999</v>
      </c>
      <c r="AG7" s="11" t="s">
        <v>67</v>
      </c>
    </row>
    <row r="8" spans="1:33" x14ac:dyDescent="0.2">
      <c r="A8" s="8">
        <v>1728</v>
      </c>
      <c r="B8" s="9" t="s">
        <v>61</v>
      </c>
      <c r="C8" s="10">
        <v>43255</v>
      </c>
      <c r="D8" s="11">
        <v>11</v>
      </c>
      <c r="E8" s="12" t="s">
        <v>34</v>
      </c>
      <c r="F8" s="12" t="s">
        <v>35</v>
      </c>
      <c r="G8" s="12" t="s">
        <v>36</v>
      </c>
      <c r="H8" s="12" t="s">
        <v>37</v>
      </c>
      <c r="I8" s="11" t="s">
        <v>68</v>
      </c>
      <c r="J8" s="12" t="s">
        <v>69</v>
      </c>
      <c r="K8" s="13" t="s">
        <v>49</v>
      </c>
      <c r="L8" s="11" t="str">
        <f>"000124"</f>
        <v>000124</v>
      </c>
      <c r="M8" s="10">
        <v>43180</v>
      </c>
      <c r="N8" s="11" t="str">
        <f>"000013"</f>
        <v>000013</v>
      </c>
      <c r="O8" s="10">
        <v>43220</v>
      </c>
      <c r="P8" s="11" t="str">
        <f>"000007"</f>
        <v>000007</v>
      </c>
      <c r="Q8" s="10">
        <v>43225</v>
      </c>
      <c r="R8" s="11">
        <v>18</v>
      </c>
      <c r="S8" s="11" t="str">
        <f>"001808"</f>
        <v>001808</v>
      </c>
      <c r="T8" s="10">
        <v>43244</v>
      </c>
      <c r="U8" s="14">
        <v>24.988990000000001</v>
      </c>
      <c r="V8" s="14">
        <v>2.3314699999999999</v>
      </c>
      <c r="W8" s="14">
        <v>22.657520000000002</v>
      </c>
      <c r="X8" s="11">
        <v>69</v>
      </c>
      <c r="Y8" s="10">
        <v>43255</v>
      </c>
      <c r="Z8" s="11">
        <v>9449863065</v>
      </c>
      <c r="AA8" s="12" t="s">
        <v>64</v>
      </c>
      <c r="AB8" s="11" t="s">
        <v>65</v>
      </c>
      <c r="AC8" s="12" t="s">
        <v>66</v>
      </c>
      <c r="AD8" s="11" t="s">
        <v>44</v>
      </c>
      <c r="AE8" s="12" t="s">
        <v>45</v>
      </c>
      <c r="AF8" s="14">
        <v>0.2498899</v>
      </c>
      <c r="AG8" s="11" t="s">
        <v>67</v>
      </c>
    </row>
    <row r="9" spans="1:33" x14ac:dyDescent="0.2">
      <c r="A9" s="8">
        <v>2203</v>
      </c>
      <c r="B9" s="9" t="s">
        <v>61</v>
      </c>
      <c r="C9" s="10">
        <v>43269</v>
      </c>
      <c r="D9" s="11">
        <v>11</v>
      </c>
      <c r="E9" s="12" t="s">
        <v>34</v>
      </c>
      <c r="F9" s="12" t="s">
        <v>35</v>
      </c>
      <c r="G9" s="12" t="s">
        <v>36</v>
      </c>
      <c r="H9" s="12" t="s">
        <v>37</v>
      </c>
      <c r="I9" s="11" t="s">
        <v>70</v>
      </c>
      <c r="J9" s="12" t="s">
        <v>71</v>
      </c>
      <c r="K9" s="13" t="s">
        <v>49</v>
      </c>
      <c r="L9" s="11" t="str">
        <f>"000119"</f>
        <v>000119</v>
      </c>
      <c r="M9" s="10">
        <v>43180</v>
      </c>
      <c r="N9" s="11" t="str">
        <f>"000015"</f>
        <v>000015</v>
      </c>
      <c r="O9" s="10">
        <v>43222</v>
      </c>
      <c r="P9" s="11" t="str">
        <f>"000013"</f>
        <v>000013</v>
      </c>
      <c r="Q9" s="10">
        <v>43239</v>
      </c>
      <c r="R9" s="11">
        <v>18</v>
      </c>
      <c r="S9" s="11" t="str">
        <f>"002253"</f>
        <v>002253</v>
      </c>
      <c r="T9" s="10">
        <v>43257</v>
      </c>
      <c r="U9" s="14">
        <v>26.995470000000001</v>
      </c>
      <c r="V9" s="14">
        <v>2.4601299999999999</v>
      </c>
      <c r="W9" s="14">
        <v>24.535340000000001</v>
      </c>
      <c r="X9" s="11">
        <v>93</v>
      </c>
      <c r="Y9" s="10">
        <v>43269</v>
      </c>
      <c r="Z9" s="11">
        <v>9449863065</v>
      </c>
      <c r="AA9" s="12" t="s">
        <v>64</v>
      </c>
      <c r="AB9" s="11" t="s">
        <v>65</v>
      </c>
      <c r="AC9" s="12" t="s">
        <v>66</v>
      </c>
      <c r="AD9" s="11" t="s">
        <v>44</v>
      </c>
      <c r="AE9" s="12" t="s">
        <v>45</v>
      </c>
      <c r="AF9" s="14">
        <v>0.26995469999999999</v>
      </c>
      <c r="AG9" s="11" t="s">
        <v>67</v>
      </c>
    </row>
    <row r="10" spans="1:33" x14ac:dyDescent="0.2">
      <c r="A10" s="8">
        <v>2204</v>
      </c>
      <c r="B10" s="9" t="s">
        <v>61</v>
      </c>
      <c r="C10" s="10">
        <v>43269</v>
      </c>
      <c r="D10" s="11">
        <v>11</v>
      </c>
      <c r="E10" s="12" t="s">
        <v>34</v>
      </c>
      <c r="F10" s="12" t="s">
        <v>35</v>
      </c>
      <c r="G10" s="12" t="s">
        <v>36</v>
      </c>
      <c r="H10" s="12" t="s">
        <v>37</v>
      </c>
      <c r="I10" s="11" t="s">
        <v>72</v>
      </c>
      <c r="J10" s="12" t="s">
        <v>73</v>
      </c>
      <c r="K10" s="13" t="s">
        <v>49</v>
      </c>
      <c r="L10" s="11" t="str">
        <f>"000120"</f>
        <v>000120</v>
      </c>
      <c r="M10" s="10">
        <v>43180</v>
      </c>
      <c r="N10" s="11" t="str">
        <f>"000014"</f>
        <v>000014</v>
      </c>
      <c r="O10" s="10">
        <v>43222</v>
      </c>
      <c r="P10" s="11" t="str">
        <f>"000014"</f>
        <v>000014</v>
      </c>
      <c r="Q10" s="10">
        <v>43239</v>
      </c>
      <c r="R10" s="11">
        <v>18</v>
      </c>
      <c r="S10" s="11" t="str">
        <f>"002254"</f>
        <v>002254</v>
      </c>
      <c r="T10" s="10">
        <v>43257</v>
      </c>
      <c r="U10" s="14">
        <v>24.996320000000001</v>
      </c>
      <c r="V10" s="14">
        <v>2.2996699999999999</v>
      </c>
      <c r="W10" s="14">
        <v>22.696650000000002</v>
      </c>
      <c r="X10" s="11">
        <v>93</v>
      </c>
      <c r="Y10" s="10">
        <v>43269</v>
      </c>
      <c r="Z10" s="11">
        <v>9449863065</v>
      </c>
      <c r="AA10" s="12" t="s">
        <v>74</v>
      </c>
      <c r="AB10" s="11" t="s">
        <v>65</v>
      </c>
      <c r="AC10" s="12" t="s">
        <v>66</v>
      </c>
      <c r="AD10" s="11" t="s">
        <v>44</v>
      </c>
      <c r="AE10" s="12" t="s">
        <v>45</v>
      </c>
      <c r="AF10" s="14">
        <v>0.2499632</v>
      </c>
      <c r="AG10" s="11" t="s">
        <v>67</v>
      </c>
    </row>
    <row r="11" spans="1:33" x14ac:dyDescent="0.2">
      <c r="A11" s="8">
        <v>2463</v>
      </c>
      <c r="B11" s="9" t="s">
        <v>61</v>
      </c>
      <c r="C11" s="10">
        <v>43274</v>
      </c>
      <c r="D11" s="11">
        <v>11</v>
      </c>
      <c r="E11" s="12" t="s">
        <v>34</v>
      </c>
      <c r="F11" s="12" t="s">
        <v>35</v>
      </c>
      <c r="G11" s="12" t="s">
        <v>36</v>
      </c>
      <c r="H11" s="12" t="s">
        <v>37</v>
      </c>
      <c r="I11" s="11" t="s">
        <v>75</v>
      </c>
      <c r="J11" s="12" t="s">
        <v>76</v>
      </c>
      <c r="K11" s="13" t="s">
        <v>77</v>
      </c>
      <c r="L11" s="11" t="str">
        <f>"000019"</f>
        <v>000019</v>
      </c>
      <c r="M11" s="10">
        <v>42567</v>
      </c>
      <c r="N11" s="11" t="str">
        <f>"000116"</f>
        <v>000116</v>
      </c>
      <c r="O11" s="10">
        <v>42628</v>
      </c>
      <c r="P11" s="11" t="str">
        <f>"000113"</f>
        <v>000113</v>
      </c>
      <c r="Q11" s="10">
        <v>42629</v>
      </c>
      <c r="R11" s="11">
        <v>16</v>
      </c>
      <c r="S11" s="11" t="str">
        <f>"002819"</f>
        <v>002819</v>
      </c>
      <c r="T11" s="10">
        <v>43273</v>
      </c>
      <c r="U11" s="14">
        <v>12.509679999999999</v>
      </c>
      <c r="V11" s="14">
        <v>1.3885799999999999</v>
      </c>
      <c r="W11" s="14">
        <v>11.1211</v>
      </c>
      <c r="X11" s="11">
        <v>99</v>
      </c>
      <c r="Y11" s="10">
        <v>43274</v>
      </c>
      <c r="Z11" s="11">
        <v>9620096296</v>
      </c>
      <c r="AA11" s="12" t="s">
        <v>78</v>
      </c>
      <c r="AB11" s="11" t="s">
        <v>42</v>
      </c>
      <c r="AC11" s="12" t="s">
        <v>43</v>
      </c>
      <c r="AD11" s="11" t="s">
        <v>79</v>
      </c>
      <c r="AE11" s="12" t="s">
        <v>80</v>
      </c>
      <c r="AF11" s="14">
        <v>0.12509680000000001</v>
      </c>
      <c r="AG11" s="11" t="s">
        <v>46</v>
      </c>
    </row>
    <row r="12" spans="1:33" x14ac:dyDescent="0.2">
      <c r="A12" s="8">
        <v>2640</v>
      </c>
      <c r="B12" s="9" t="s">
        <v>61</v>
      </c>
      <c r="C12" s="10">
        <v>43276</v>
      </c>
      <c r="D12" s="11">
        <v>11</v>
      </c>
      <c r="E12" s="12" t="s">
        <v>34</v>
      </c>
      <c r="F12" s="12" t="s">
        <v>35</v>
      </c>
      <c r="G12" s="12" t="s">
        <v>36</v>
      </c>
      <c r="H12" s="12" t="s">
        <v>37</v>
      </c>
      <c r="I12" s="11" t="s">
        <v>81</v>
      </c>
      <c r="J12" s="12" t="s">
        <v>82</v>
      </c>
      <c r="K12" s="13" t="s">
        <v>49</v>
      </c>
      <c r="L12" s="11" t="str">
        <f>"000122"</f>
        <v>000122</v>
      </c>
      <c r="M12" s="10">
        <v>43180</v>
      </c>
      <c r="N12" s="11" t="str">
        <f>"000011"</f>
        <v>000011</v>
      </c>
      <c r="O12" s="10">
        <v>43220</v>
      </c>
      <c r="P12" s="11" t="str">
        <f>"000015"</f>
        <v>000015</v>
      </c>
      <c r="Q12" s="10">
        <v>43242</v>
      </c>
      <c r="R12" s="11">
        <v>18</v>
      </c>
      <c r="S12" s="11" t="str">
        <f>"002653"</f>
        <v>002653</v>
      </c>
      <c r="T12" s="10">
        <v>43269</v>
      </c>
      <c r="U12" s="14">
        <v>24.990549999999999</v>
      </c>
      <c r="V12" s="14">
        <v>2.3491200000000001</v>
      </c>
      <c r="W12" s="14">
        <v>22.64143</v>
      </c>
      <c r="X12" s="11">
        <v>100</v>
      </c>
      <c r="Y12" s="10">
        <v>43276</v>
      </c>
      <c r="Z12" s="11">
        <v>9449863065</v>
      </c>
      <c r="AA12" s="12" t="s">
        <v>64</v>
      </c>
      <c r="AB12" s="11" t="s">
        <v>65</v>
      </c>
      <c r="AC12" s="12" t="s">
        <v>66</v>
      </c>
      <c r="AD12" s="11" t="s">
        <v>44</v>
      </c>
      <c r="AE12" s="12" t="s">
        <v>45</v>
      </c>
      <c r="AF12" s="14">
        <v>0.2499055</v>
      </c>
      <c r="AG12" s="11" t="s">
        <v>67</v>
      </c>
    </row>
    <row r="13" spans="1:33" x14ac:dyDescent="0.2">
      <c r="A13" s="8">
        <v>2641</v>
      </c>
      <c r="B13" s="9" t="s">
        <v>61</v>
      </c>
      <c r="C13" s="10">
        <v>43276</v>
      </c>
      <c r="D13" s="11">
        <v>11</v>
      </c>
      <c r="E13" s="12" t="s">
        <v>34</v>
      </c>
      <c r="F13" s="12" t="s">
        <v>35</v>
      </c>
      <c r="G13" s="12" t="s">
        <v>36</v>
      </c>
      <c r="H13" s="12" t="s">
        <v>37</v>
      </c>
      <c r="I13" s="11" t="s">
        <v>83</v>
      </c>
      <c r="J13" s="12" t="s">
        <v>84</v>
      </c>
      <c r="K13" s="13" t="s">
        <v>49</v>
      </c>
      <c r="L13" s="11" t="str">
        <f>"000121"</f>
        <v>000121</v>
      </c>
      <c r="M13" s="10">
        <v>43180</v>
      </c>
      <c r="N13" s="11" t="str">
        <f>"000010"</f>
        <v>000010</v>
      </c>
      <c r="O13" s="10">
        <v>43220</v>
      </c>
      <c r="P13" s="11" t="str">
        <f>"000017"</f>
        <v>000017</v>
      </c>
      <c r="Q13" s="10">
        <v>43242</v>
      </c>
      <c r="R13" s="11">
        <v>18</v>
      </c>
      <c r="S13" s="11" t="str">
        <f>"002654"</f>
        <v>002654</v>
      </c>
      <c r="T13" s="10">
        <v>43269</v>
      </c>
      <c r="U13" s="14">
        <v>24.990590000000001</v>
      </c>
      <c r="V13" s="14">
        <v>2.3016200000000002</v>
      </c>
      <c r="W13" s="14">
        <v>22.688970000000001</v>
      </c>
      <c r="X13" s="11">
        <v>100</v>
      </c>
      <c r="Y13" s="10">
        <v>43276</v>
      </c>
      <c r="Z13" s="11">
        <v>9449863065</v>
      </c>
      <c r="AA13" s="12" t="s">
        <v>64</v>
      </c>
      <c r="AB13" s="11" t="s">
        <v>65</v>
      </c>
      <c r="AC13" s="12" t="s">
        <v>66</v>
      </c>
      <c r="AD13" s="11" t="s">
        <v>44</v>
      </c>
      <c r="AE13" s="12" t="s">
        <v>45</v>
      </c>
      <c r="AF13" s="14">
        <v>0.24990590000000001</v>
      </c>
      <c r="AG13" s="11" t="s">
        <v>67</v>
      </c>
    </row>
    <row r="14" spans="1:33" x14ac:dyDescent="0.2">
      <c r="A14" s="8">
        <v>2676</v>
      </c>
      <c r="B14" s="9" t="s">
        <v>61</v>
      </c>
      <c r="C14" s="10">
        <v>43278</v>
      </c>
      <c r="D14" s="11">
        <v>11</v>
      </c>
      <c r="E14" s="12" t="s">
        <v>34</v>
      </c>
      <c r="F14" s="12" t="s">
        <v>35</v>
      </c>
      <c r="G14" s="12" t="s">
        <v>36</v>
      </c>
      <c r="H14" s="12" t="s">
        <v>37</v>
      </c>
      <c r="I14" s="11" t="s">
        <v>85</v>
      </c>
      <c r="J14" s="12" t="s">
        <v>86</v>
      </c>
      <c r="K14" s="13" t="s">
        <v>49</v>
      </c>
      <c r="L14" s="11" t="str">
        <f>"000338"</f>
        <v>000338</v>
      </c>
      <c r="M14" s="10">
        <v>42689</v>
      </c>
      <c r="N14" s="11" t="str">
        <f>"000171"</f>
        <v>000171</v>
      </c>
      <c r="O14" s="10">
        <v>42671</v>
      </c>
      <c r="P14" s="11" t="str">
        <f>"000589"</f>
        <v>000589</v>
      </c>
      <c r="Q14" s="10">
        <v>42671</v>
      </c>
      <c r="R14" s="11">
        <v>15</v>
      </c>
      <c r="S14" s="11" t="str">
        <f>"003036"</f>
        <v>003036</v>
      </c>
      <c r="T14" s="10">
        <v>43277</v>
      </c>
      <c r="U14" s="14">
        <v>26.58766</v>
      </c>
      <c r="V14" s="14">
        <v>2.15361</v>
      </c>
      <c r="W14" s="14">
        <v>24.434049999999999</v>
      </c>
      <c r="X14" s="11">
        <v>103</v>
      </c>
      <c r="Y14" s="10">
        <v>43278</v>
      </c>
      <c r="Z14" s="11">
        <v>9980377722</v>
      </c>
      <c r="AA14" s="12" t="s">
        <v>87</v>
      </c>
      <c r="AB14" s="11" t="s">
        <v>88</v>
      </c>
      <c r="AC14" s="12" t="s">
        <v>89</v>
      </c>
      <c r="AD14" s="11" t="s">
        <v>44</v>
      </c>
      <c r="AE14" s="12" t="s">
        <v>45</v>
      </c>
      <c r="AF14" s="14">
        <v>0.26587660000000002</v>
      </c>
      <c r="AG14" s="11" t="s">
        <v>46</v>
      </c>
    </row>
    <row r="15" spans="1:33" x14ac:dyDescent="0.2">
      <c r="A15" s="8">
        <v>2677</v>
      </c>
      <c r="B15" s="9" t="s">
        <v>61</v>
      </c>
      <c r="C15" s="10">
        <v>43278</v>
      </c>
      <c r="D15" s="11">
        <v>11</v>
      </c>
      <c r="E15" s="12" t="s">
        <v>34</v>
      </c>
      <c r="F15" s="12" t="s">
        <v>35</v>
      </c>
      <c r="G15" s="12" t="s">
        <v>36</v>
      </c>
      <c r="H15" s="12" t="s">
        <v>37</v>
      </c>
      <c r="I15" s="11" t="s">
        <v>90</v>
      </c>
      <c r="J15" s="12" t="s">
        <v>91</v>
      </c>
      <c r="K15" s="13" t="s">
        <v>49</v>
      </c>
      <c r="L15" s="11" t="str">
        <f>"000337"</f>
        <v>000337</v>
      </c>
      <c r="M15" s="10">
        <v>42689</v>
      </c>
      <c r="N15" s="11" t="str">
        <f>"000170"</f>
        <v>000170</v>
      </c>
      <c r="O15" s="10">
        <v>42671</v>
      </c>
      <c r="P15" s="11" t="str">
        <f>"000590"</f>
        <v>000590</v>
      </c>
      <c r="Q15" s="10">
        <v>42671</v>
      </c>
      <c r="R15" s="11">
        <v>15</v>
      </c>
      <c r="S15" s="11" t="str">
        <f>"003037"</f>
        <v>003037</v>
      </c>
      <c r="T15" s="10">
        <v>43277</v>
      </c>
      <c r="U15" s="14">
        <v>26.64479</v>
      </c>
      <c r="V15" s="14">
        <v>2.1582300000000001</v>
      </c>
      <c r="W15" s="14">
        <v>24.486560000000001</v>
      </c>
      <c r="X15" s="11">
        <v>103</v>
      </c>
      <c r="Y15" s="10">
        <v>43278</v>
      </c>
      <c r="Z15" s="11">
        <v>9980377722</v>
      </c>
      <c r="AA15" s="12" t="s">
        <v>92</v>
      </c>
      <c r="AB15" s="11" t="s">
        <v>88</v>
      </c>
      <c r="AC15" s="12" t="s">
        <v>89</v>
      </c>
      <c r="AD15" s="11" t="s">
        <v>44</v>
      </c>
      <c r="AE15" s="12" t="s">
        <v>45</v>
      </c>
      <c r="AF15" s="14">
        <v>0.26644790000000002</v>
      </c>
      <c r="AG15" s="11" t="s">
        <v>46</v>
      </c>
    </row>
    <row r="16" spans="1:33" x14ac:dyDescent="0.2">
      <c r="A16" s="8">
        <v>2781</v>
      </c>
      <c r="B16" s="9" t="s">
        <v>93</v>
      </c>
      <c r="C16" s="10">
        <v>43283</v>
      </c>
      <c r="D16" s="11">
        <v>11</v>
      </c>
      <c r="E16" s="12" t="s">
        <v>34</v>
      </c>
      <c r="F16" s="12" t="s">
        <v>35</v>
      </c>
      <c r="G16" s="12" t="s">
        <v>36</v>
      </c>
      <c r="H16" s="12" t="s">
        <v>37</v>
      </c>
      <c r="I16" s="11" t="s">
        <v>94</v>
      </c>
      <c r="J16" s="12" t="s">
        <v>95</v>
      </c>
      <c r="K16" s="13" t="s">
        <v>96</v>
      </c>
      <c r="L16" s="11" t="str">
        <f>"000031"</f>
        <v>000031</v>
      </c>
      <c r="M16" s="10">
        <v>42507</v>
      </c>
      <c r="N16" s="11" t="str">
        <f>"000192"</f>
        <v>000192</v>
      </c>
      <c r="O16" s="10">
        <v>42698</v>
      </c>
      <c r="P16" s="11" t="str">
        <f>"000626"</f>
        <v>000626</v>
      </c>
      <c r="Q16" s="10">
        <v>42702</v>
      </c>
      <c r="R16" s="11">
        <v>16</v>
      </c>
      <c r="S16" s="11" t="str">
        <f>"003141"</f>
        <v>003141</v>
      </c>
      <c r="T16" s="10">
        <v>43280</v>
      </c>
      <c r="U16" s="14">
        <v>14.932270000000001</v>
      </c>
      <c r="V16" s="14">
        <v>0.31357000000000002</v>
      </c>
      <c r="W16" s="14">
        <v>14.6187</v>
      </c>
      <c r="X16" s="11">
        <v>106</v>
      </c>
      <c r="Y16" s="10">
        <v>43283</v>
      </c>
      <c r="Z16" s="11">
        <v>9008625256</v>
      </c>
      <c r="AA16" s="12" t="s">
        <v>97</v>
      </c>
      <c r="AB16" s="11" t="s">
        <v>42</v>
      </c>
      <c r="AC16" s="12" t="s">
        <v>43</v>
      </c>
      <c r="AD16" s="11" t="s">
        <v>44</v>
      </c>
      <c r="AE16" s="12" t="s">
        <v>45</v>
      </c>
      <c r="AF16" s="14">
        <v>0.1493227</v>
      </c>
      <c r="AG16" s="11" t="s">
        <v>46</v>
      </c>
    </row>
    <row r="17" spans="1:33" x14ac:dyDescent="0.2">
      <c r="A17" s="8">
        <v>2782</v>
      </c>
      <c r="B17" s="9" t="s">
        <v>93</v>
      </c>
      <c r="C17" s="10">
        <v>43283</v>
      </c>
      <c r="D17" s="11">
        <v>11</v>
      </c>
      <c r="E17" s="12" t="s">
        <v>34</v>
      </c>
      <c r="F17" s="12" t="s">
        <v>35</v>
      </c>
      <c r="G17" s="12" t="s">
        <v>36</v>
      </c>
      <c r="H17" s="12" t="s">
        <v>37</v>
      </c>
      <c r="I17" s="11" t="s">
        <v>98</v>
      </c>
      <c r="J17" s="12" t="s">
        <v>99</v>
      </c>
      <c r="K17" s="13" t="s">
        <v>49</v>
      </c>
      <c r="L17" s="11" t="str">
        <f>"000213"</f>
        <v>000213</v>
      </c>
      <c r="M17" s="10">
        <v>42416</v>
      </c>
      <c r="N17" s="11" t="str">
        <f>"000195"</f>
        <v>000195</v>
      </c>
      <c r="O17" s="10">
        <v>42698</v>
      </c>
      <c r="P17" s="11" t="str">
        <f>"000634"</f>
        <v>000634</v>
      </c>
      <c r="Q17" s="10">
        <v>42702</v>
      </c>
      <c r="R17" s="11">
        <v>15</v>
      </c>
      <c r="S17" s="11" t="str">
        <f>"003145"</f>
        <v>003145</v>
      </c>
      <c r="T17" s="10">
        <v>43280</v>
      </c>
      <c r="U17" s="14">
        <v>51.897489999999998</v>
      </c>
      <c r="V17" s="14">
        <v>3.90645</v>
      </c>
      <c r="W17" s="14">
        <v>47.991039999999998</v>
      </c>
      <c r="X17" s="11">
        <v>106</v>
      </c>
      <c r="Y17" s="10">
        <v>43283</v>
      </c>
      <c r="Z17" s="11">
        <v>9845547072</v>
      </c>
      <c r="AA17" s="12" t="s">
        <v>100</v>
      </c>
      <c r="AB17" s="11" t="s">
        <v>101</v>
      </c>
      <c r="AC17" s="12" t="s">
        <v>102</v>
      </c>
      <c r="AD17" s="11" t="s">
        <v>44</v>
      </c>
      <c r="AE17" s="12" t="s">
        <v>45</v>
      </c>
      <c r="AF17" s="14">
        <v>0.51897490000000002</v>
      </c>
      <c r="AG17" s="11" t="s">
        <v>46</v>
      </c>
    </row>
    <row r="18" spans="1:33" x14ac:dyDescent="0.2">
      <c r="A18" s="8">
        <v>2783</v>
      </c>
      <c r="B18" s="9" t="s">
        <v>93</v>
      </c>
      <c r="C18" s="10">
        <v>43283</v>
      </c>
      <c r="D18" s="11">
        <v>11</v>
      </c>
      <c r="E18" s="12" t="s">
        <v>34</v>
      </c>
      <c r="F18" s="12" t="s">
        <v>35</v>
      </c>
      <c r="G18" s="12" t="s">
        <v>36</v>
      </c>
      <c r="H18" s="12" t="s">
        <v>37</v>
      </c>
      <c r="I18" s="11" t="s">
        <v>103</v>
      </c>
      <c r="J18" s="12" t="s">
        <v>104</v>
      </c>
      <c r="K18" s="13" t="s">
        <v>105</v>
      </c>
      <c r="L18" s="11" t="str">
        <f>"000184"</f>
        <v>000184</v>
      </c>
      <c r="M18" s="10">
        <v>42798</v>
      </c>
      <c r="N18" s="11" t="str">
        <f>"000005"</f>
        <v>000005</v>
      </c>
      <c r="O18" s="10">
        <v>42853</v>
      </c>
      <c r="P18" s="11" t="str">
        <f>"000015"</f>
        <v>000015</v>
      </c>
      <c r="Q18" s="10">
        <v>42853</v>
      </c>
      <c r="R18" s="11">
        <v>17</v>
      </c>
      <c r="S18" s="11" t="str">
        <f>"003079"</f>
        <v>003079</v>
      </c>
      <c r="T18" s="10">
        <v>43280</v>
      </c>
      <c r="U18" s="14">
        <v>22.98921</v>
      </c>
      <c r="V18" s="14">
        <v>1.4713099999999999</v>
      </c>
      <c r="W18" s="14">
        <v>21.517900000000001</v>
      </c>
      <c r="X18" s="11">
        <v>107</v>
      </c>
      <c r="Y18" s="10">
        <v>43283</v>
      </c>
      <c r="Z18" s="11">
        <v>7204444692</v>
      </c>
      <c r="AA18" s="12" t="s">
        <v>106</v>
      </c>
      <c r="AB18" s="11" t="s">
        <v>42</v>
      </c>
      <c r="AC18" s="12" t="s">
        <v>43</v>
      </c>
      <c r="AD18" s="11" t="s">
        <v>44</v>
      </c>
      <c r="AE18" s="12" t="s">
        <v>45</v>
      </c>
      <c r="AF18" s="14">
        <v>0.22989209999999999</v>
      </c>
      <c r="AG18" s="11" t="s">
        <v>46</v>
      </c>
    </row>
    <row r="19" spans="1:33" x14ac:dyDescent="0.2">
      <c r="A19" s="8">
        <v>3140</v>
      </c>
      <c r="B19" s="9" t="s">
        <v>93</v>
      </c>
      <c r="C19" s="10">
        <v>43290</v>
      </c>
      <c r="D19" s="11">
        <v>11</v>
      </c>
      <c r="E19" s="12" t="s">
        <v>34</v>
      </c>
      <c r="F19" s="12" t="s">
        <v>35</v>
      </c>
      <c r="G19" s="12" t="s">
        <v>36</v>
      </c>
      <c r="H19" s="12" t="s">
        <v>37</v>
      </c>
      <c r="I19" s="11" t="s">
        <v>107</v>
      </c>
      <c r="J19" s="12" t="s">
        <v>108</v>
      </c>
      <c r="K19" s="13" t="s">
        <v>49</v>
      </c>
      <c r="L19" s="11" t="str">
        <f>"000100"</f>
        <v>000100</v>
      </c>
      <c r="M19" s="10">
        <v>42693</v>
      </c>
      <c r="N19" s="11" t="str">
        <f>"000150"</f>
        <v>000150</v>
      </c>
      <c r="O19" s="10">
        <v>42639</v>
      </c>
      <c r="P19" s="11" t="str">
        <f>"000538"</f>
        <v>000538</v>
      </c>
      <c r="Q19" s="10">
        <v>42642</v>
      </c>
      <c r="R19" s="11">
        <v>16</v>
      </c>
      <c r="S19" s="11" t="str">
        <f>"003378"</f>
        <v>003378</v>
      </c>
      <c r="T19" s="10">
        <v>43288</v>
      </c>
      <c r="U19" s="14">
        <v>36.366340000000001</v>
      </c>
      <c r="V19" s="14">
        <v>2.74383</v>
      </c>
      <c r="W19" s="14">
        <v>33.622509999999998</v>
      </c>
      <c r="X19" s="11">
        <v>117</v>
      </c>
      <c r="Y19" s="10">
        <v>43290</v>
      </c>
      <c r="Z19" s="11">
        <v>9845029450</v>
      </c>
      <c r="AA19" s="12" t="s">
        <v>109</v>
      </c>
      <c r="AB19" s="11" t="s">
        <v>51</v>
      </c>
      <c r="AC19" s="12" t="s">
        <v>52</v>
      </c>
      <c r="AD19" s="11" t="s">
        <v>44</v>
      </c>
      <c r="AE19" s="12" t="s">
        <v>45</v>
      </c>
      <c r="AF19" s="14">
        <v>0.36366340000000003</v>
      </c>
      <c r="AG19" s="11" t="s">
        <v>46</v>
      </c>
    </row>
    <row r="20" spans="1:33" x14ac:dyDescent="0.2">
      <c r="A20" s="8">
        <v>3402</v>
      </c>
      <c r="B20" s="9" t="s">
        <v>93</v>
      </c>
      <c r="C20" s="10">
        <v>43299</v>
      </c>
      <c r="D20" s="11">
        <v>11</v>
      </c>
      <c r="E20" s="12" t="s">
        <v>34</v>
      </c>
      <c r="F20" s="12" t="s">
        <v>35</v>
      </c>
      <c r="G20" s="12" t="s">
        <v>36</v>
      </c>
      <c r="H20" s="12" t="s">
        <v>37</v>
      </c>
      <c r="I20" s="11" t="s">
        <v>110</v>
      </c>
      <c r="J20" s="12" t="s">
        <v>111</v>
      </c>
      <c r="K20" s="13" t="s">
        <v>77</v>
      </c>
      <c r="L20" s="11" t="str">
        <f>"000029"</f>
        <v>000029</v>
      </c>
      <c r="M20" s="10">
        <v>42737</v>
      </c>
      <c r="N20" s="11" t="str">
        <f>"000029"</f>
        <v>000029</v>
      </c>
      <c r="O20" s="10">
        <v>43111</v>
      </c>
      <c r="P20" s="11" t="str">
        <f>"000029"</f>
        <v>000029</v>
      </c>
      <c r="Q20" s="10">
        <v>43111</v>
      </c>
      <c r="R20" s="11">
        <v>16</v>
      </c>
      <c r="S20" s="11" t="str">
        <f>"003877"</f>
        <v>003877</v>
      </c>
      <c r="T20" s="10">
        <v>43297</v>
      </c>
      <c r="U20" s="14">
        <v>3.4506600000000001</v>
      </c>
      <c r="V20" s="14">
        <v>0.26350000000000001</v>
      </c>
      <c r="W20" s="14">
        <v>3.18716</v>
      </c>
      <c r="X20" s="11">
        <v>127</v>
      </c>
      <c r="Y20" s="10">
        <v>43299</v>
      </c>
      <c r="Z20" s="11">
        <v>9945535033</v>
      </c>
      <c r="AA20" s="12" t="s">
        <v>112</v>
      </c>
      <c r="AB20" s="11" t="s">
        <v>113</v>
      </c>
      <c r="AC20" s="12" t="s">
        <v>114</v>
      </c>
      <c r="AD20" s="11" t="s">
        <v>79</v>
      </c>
      <c r="AE20" s="12" t="s">
        <v>80</v>
      </c>
      <c r="AF20" s="14">
        <v>3.4506599999999998E-2</v>
      </c>
      <c r="AG20" s="11" t="s">
        <v>46</v>
      </c>
    </row>
    <row r="21" spans="1:33" x14ac:dyDescent="0.2">
      <c r="A21" s="8">
        <v>3403</v>
      </c>
      <c r="B21" s="9" t="s">
        <v>93</v>
      </c>
      <c r="C21" s="10">
        <v>43299</v>
      </c>
      <c r="D21" s="11">
        <v>11</v>
      </c>
      <c r="E21" s="12" t="s">
        <v>34</v>
      </c>
      <c r="F21" s="12" t="s">
        <v>35</v>
      </c>
      <c r="G21" s="12" t="s">
        <v>36</v>
      </c>
      <c r="H21" s="12" t="s">
        <v>37</v>
      </c>
      <c r="I21" s="11" t="s">
        <v>115</v>
      </c>
      <c r="J21" s="12" t="s">
        <v>116</v>
      </c>
      <c r="K21" s="13" t="s">
        <v>105</v>
      </c>
      <c r="L21" s="11" t="str">
        <f>"000002"</f>
        <v>000002</v>
      </c>
      <c r="M21" s="10">
        <v>42852</v>
      </c>
      <c r="N21" s="11" t="str">
        <f>"000031"</f>
        <v>000031</v>
      </c>
      <c r="O21" s="10">
        <v>43112</v>
      </c>
      <c r="P21" s="11" t="str">
        <f>"000031"</f>
        <v>000031</v>
      </c>
      <c r="Q21" s="10">
        <v>43112</v>
      </c>
      <c r="R21" s="11">
        <v>17</v>
      </c>
      <c r="S21" s="11" t="str">
        <f>"004881"</f>
        <v>004881</v>
      </c>
      <c r="T21" s="10">
        <v>43316</v>
      </c>
      <c r="U21" s="14">
        <v>3.4391500000000002</v>
      </c>
      <c r="V21" s="14">
        <v>0.14099999999999999</v>
      </c>
      <c r="W21" s="14">
        <v>3.2981500000000001</v>
      </c>
      <c r="X21" s="11">
        <v>127</v>
      </c>
      <c r="Y21" s="10">
        <v>43299</v>
      </c>
      <c r="Z21" s="11">
        <v>9845087137</v>
      </c>
      <c r="AA21" s="12" t="s">
        <v>117</v>
      </c>
      <c r="AB21" s="11" t="s">
        <v>118</v>
      </c>
      <c r="AC21" s="12" t="s">
        <v>119</v>
      </c>
      <c r="AD21" s="11" t="s">
        <v>79</v>
      </c>
      <c r="AE21" s="12" t="s">
        <v>80</v>
      </c>
      <c r="AF21" s="14">
        <v>3.4391499999999998E-2</v>
      </c>
      <c r="AG21" s="11" t="s">
        <v>46</v>
      </c>
    </row>
    <row r="22" spans="1:33" x14ac:dyDescent="0.2">
      <c r="A22" s="8">
        <v>3404</v>
      </c>
      <c r="B22" s="9" t="s">
        <v>93</v>
      </c>
      <c r="C22" s="10">
        <v>43299</v>
      </c>
      <c r="D22" s="11">
        <v>11</v>
      </c>
      <c r="E22" s="12" t="s">
        <v>34</v>
      </c>
      <c r="F22" s="12" t="s">
        <v>35</v>
      </c>
      <c r="G22" s="12" t="s">
        <v>36</v>
      </c>
      <c r="H22" s="12" t="s">
        <v>37</v>
      </c>
      <c r="I22" s="11" t="s">
        <v>110</v>
      </c>
      <c r="J22" s="12" t="s">
        <v>111</v>
      </c>
      <c r="K22" s="13" t="s">
        <v>77</v>
      </c>
      <c r="L22" s="11" t="str">
        <f>"000029"</f>
        <v>000029</v>
      </c>
      <c r="M22" s="10">
        <v>42737</v>
      </c>
      <c r="N22" s="11" t="str">
        <f>"000029"</f>
        <v>000029</v>
      </c>
      <c r="O22" s="10">
        <v>43111</v>
      </c>
      <c r="P22" s="11" t="str">
        <f>"000029"</f>
        <v>000029</v>
      </c>
      <c r="Q22" s="10">
        <v>43111</v>
      </c>
      <c r="R22" s="11">
        <v>16</v>
      </c>
      <c r="S22" s="11" t="str">
        <f>"003877"</f>
        <v>003877</v>
      </c>
      <c r="T22" s="10">
        <v>43297</v>
      </c>
      <c r="U22" s="14">
        <v>7.0532000000000004</v>
      </c>
      <c r="V22" s="14">
        <v>0.49123</v>
      </c>
      <c r="W22" s="14">
        <v>6.5619699999999996</v>
      </c>
      <c r="X22" s="11">
        <v>127</v>
      </c>
      <c r="Y22" s="10">
        <v>43299</v>
      </c>
      <c r="Z22" s="11">
        <v>9945535033</v>
      </c>
      <c r="AA22" s="12" t="s">
        <v>112</v>
      </c>
      <c r="AB22" s="11" t="s">
        <v>113</v>
      </c>
      <c r="AC22" s="12" t="s">
        <v>114</v>
      </c>
      <c r="AD22" s="11" t="s">
        <v>79</v>
      </c>
      <c r="AE22" s="12" t="s">
        <v>80</v>
      </c>
      <c r="AF22" s="14">
        <v>7.0531999999999997E-2</v>
      </c>
      <c r="AG22" s="11" t="s">
        <v>46</v>
      </c>
    </row>
    <row r="23" spans="1:33" x14ac:dyDescent="0.2">
      <c r="A23" s="8">
        <v>3405</v>
      </c>
      <c r="B23" s="9" t="s">
        <v>93</v>
      </c>
      <c r="C23" s="10">
        <v>43299</v>
      </c>
      <c r="D23" s="11">
        <v>11</v>
      </c>
      <c r="E23" s="12" t="s">
        <v>34</v>
      </c>
      <c r="F23" s="12" t="s">
        <v>35</v>
      </c>
      <c r="G23" s="12" t="s">
        <v>36</v>
      </c>
      <c r="H23" s="12" t="s">
        <v>37</v>
      </c>
      <c r="I23" s="11" t="s">
        <v>120</v>
      </c>
      <c r="J23" s="12" t="s">
        <v>121</v>
      </c>
      <c r="K23" s="13" t="s">
        <v>77</v>
      </c>
      <c r="L23" s="11" t="str">
        <f>"000116"</f>
        <v>000116</v>
      </c>
      <c r="M23" s="10">
        <v>41155</v>
      </c>
      <c r="N23" s="11" t="str">
        <f>"000218"</f>
        <v>000218</v>
      </c>
      <c r="O23" s="10">
        <v>41968</v>
      </c>
      <c r="P23" s="11" t="str">
        <f>"000639"</f>
        <v>000639</v>
      </c>
      <c r="Q23" s="10">
        <v>42702</v>
      </c>
      <c r="R23" s="11">
        <v>12</v>
      </c>
      <c r="S23" s="11" t="str">
        <f>"003854"</f>
        <v>003854</v>
      </c>
      <c r="T23" s="10">
        <v>43297</v>
      </c>
      <c r="U23" s="14">
        <v>12.526630000000001</v>
      </c>
      <c r="V23" s="14">
        <v>1.0481</v>
      </c>
      <c r="W23" s="14">
        <v>11.478529999999999</v>
      </c>
      <c r="X23" s="11">
        <v>128</v>
      </c>
      <c r="Y23" s="10">
        <v>43299</v>
      </c>
      <c r="Z23" s="11">
        <v>9448734501</v>
      </c>
      <c r="AA23" s="12" t="s">
        <v>122</v>
      </c>
      <c r="AB23" s="11" t="s">
        <v>42</v>
      </c>
      <c r="AC23" s="12" t="s">
        <v>43</v>
      </c>
      <c r="AD23" s="11" t="s">
        <v>44</v>
      </c>
      <c r="AE23" s="12" t="s">
        <v>45</v>
      </c>
      <c r="AF23" s="14">
        <v>0.1252663</v>
      </c>
      <c r="AG23" s="11" t="s">
        <v>46</v>
      </c>
    </row>
    <row r="24" spans="1:33" x14ac:dyDescent="0.2">
      <c r="A24" s="8">
        <v>3656</v>
      </c>
      <c r="B24" s="9" t="s">
        <v>93</v>
      </c>
      <c r="C24" s="10">
        <v>43300</v>
      </c>
      <c r="D24" s="11">
        <v>11</v>
      </c>
      <c r="E24" s="12" t="s">
        <v>34</v>
      </c>
      <c r="F24" s="12" t="s">
        <v>35</v>
      </c>
      <c r="G24" s="12" t="s">
        <v>36</v>
      </c>
      <c r="H24" s="12" t="s">
        <v>37</v>
      </c>
      <c r="I24" s="11" t="s">
        <v>123</v>
      </c>
      <c r="J24" s="12" t="s">
        <v>124</v>
      </c>
      <c r="K24" s="13" t="s">
        <v>77</v>
      </c>
      <c r="L24" s="11" t="str">
        <f>"000026"</f>
        <v>000026</v>
      </c>
      <c r="M24" s="10">
        <v>43089</v>
      </c>
      <c r="N24" s="11" t="str">
        <f>"000027"</f>
        <v>000027</v>
      </c>
      <c r="O24" s="10">
        <v>43281</v>
      </c>
      <c r="P24" s="11" t="str">
        <f>"000034"</f>
        <v>000034</v>
      </c>
      <c r="Q24" s="10">
        <v>43281</v>
      </c>
      <c r="R24" s="11">
        <v>15</v>
      </c>
      <c r="S24" s="11" t="str">
        <f>"003966"</f>
        <v>003966</v>
      </c>
      <c r="T24" s="10">
        <v>43299</v>
      </c>
      <c r="U24" s="14">
        <v>316.30874</v>
      </c>
      <c r="V24" s="14">
        <v>7.3067399999999996</v>
      </c>
      <c r="W24" s="14">
        <v>309.00200000000001</v>
      </c>
      <c r="X24" s="11">
        <v>131</v>
      </c>
      <c r="Y24" s="10">
        <v>43300</v>
      </c>
      <c r="Z24" s="11">
        <v>9845164066</v>
      </c>
      <c r="AA24" s="12" t="s">
        <v>125</v>
      </c>
      <c r="AB24" s="11" t="s">
        <v>126</v>
      </c>
      <c r="AC24" s="12" t="s">
        <v>127</v>
      </c>
      <c r="AD24" s="11" t="s">
        <v>44</v>
      </c>
      <c r="AE24" s="12" t="s">
        <v>45</v>
      </c>
      <c r="AF24" s="14">
        <v>3.1630874000000002</v>
      </c>
      <c r="AG24" s="11" t="s">
        <v>67</v>
      </c>
    </row>
    <row r="25" spans="1:33" x14ac:dyDescent="0.2">
      <c r="A25" s="8">
        <v>3893</v>
      </c>
      <c r="B25" s="9" t="s">
        <v>93</v>
      </c>
      <c r="C25" s="10">
        <v>43305</v>
      </c>
      <c r="D25" s="11">
        <v>11</v>
      </c>
      <c r="E25" s="12" t="s">
        <v>34</v>
      </c>
      <c r="F25" s="12" t="s">
        <v>35</v>
      </c>
      <c r="G25" s="12" t="s">
        <v>36</v>
      </c>
      <c r="H25" s="12" t="s">
        <v>37</v>
      </c>
      <c r="I25" s="11" t="s">
        <v>128</v>
      </c>
      <c r="J25" s="12" t="s">
        <v>129</v>
      </c>
      <c r="K25" s="13" t="s">
        <v>105</v>
      </c>
      <c r="L25" s="11" t="str">
        <f>"000054"</f>
        <v>000054</v>
      </c>
      <c r="M25" s="10">
        <v>42537</v>
      </c>
      <c r="N25" s="11" t="str">
        <f>"000193"</f>
        <v>000193</v>
      </c>
      <c r="O25" s="10">
        <v>42698</v>
      </c>
      <c r="P25" s="11" t="str">
        <f>"000635"</f>
        <v>000635</v>
      </c>
      <c r="Q25" s="10">
        <v>42702</v>
      </c>
      <c r="R25" s="11">
        <v>16</v>
      </c>
      <c r="S25" s="11" t="str">
        <f>"004093"</f>
        <v>004093</v>
      </c>
      <c r="T25" s="10">
        <v>43301</v>
      </c>
      <c r="U25" s="14">
        <v>4.8974500000000001</v>
      </c>
      <c r="V25" s="14">
        <v>0.29874000000000001</v>
      </c>
      <c r="W25" s="14">
        <v>4.5987099999999996</v>
      </c>
      <c r="X25" s="11">
        <v>139</v>
      </c>
      <c r="Y25" s="10">
        <v>43305</v>
      </c>
      <c r="Z25" s="11">
        <v>9341476197</v>
      </c>
      <c r="AA25" s="12" t="s">
        <v>130</v>
      </c>
      <c r="AB25" s="11" t="s">
        <v>42</v>
      </c>
      <c r="AC25" s="12" t="s">
        <v>43</v>
      </c>
      <c r="AD25" s="11" t="s">
        <v>44</v>
      </c>
      <c r="AE25" s="12" t="s">
        <v>45</v>
      </c>
      <c r="AF25" s="14">
        <v>4.8974500000000004E-2</v>
      </c>
      <c r="AG25" s="11" t="s">
        <v>46</v>
      </c>
    </row>
    <row r="26" spans="1:33" x14ac:dyDescent="0.2">
      <c r="A26" s="8">
        <v>3894</v>
      </c>
      <c r="B26" s="9" t="s">
        <v>93</v>
      </c>
      <c r="C26" s="10">
        <v>43305</v>
      </c>
      <c r="D26" s="11">
        <v>11</v>
      </c>
      <c r="E26" s="12" t="s">
        <v>34</v>
      </c>
      <c r="F26" s="12" t="s">
        <v>35</v>
      </c>
      <c r="G26" s="12" t="s">
        <v>36</v>
      </c>
      <c r="H26" s="12" t="s">
        <v>37</v>
      </c>
      <c r="I26" s="11" t="s">
        <v>131</v>
      </c>
      <c r="J26" s="12" t="s">
        <v>132</v>
      </c>
      <c r="K26" s="13" t="s">
        <v>49</v>
      </c>
      <c r="L26" s="11" t="str">
        <f>"000050"</f>
        <v>000050</v>
      </c>
      <c r="M26" s="10">
        <v>42531</v>
      </c>
      <c r="N26" s="11" t="str">
        <f>"000194"</f>
        <v>000194</v>
      </c>
      <c r="O26" s="10">
        <v>42698</v>
      </c>
      <c r="P26" s="11" t="str">
        <f>"000640"</f>
        <v>000640</v>
      </c>
      <c r="Q26" s="10">
        <v>42702</v>
      </c>
      <c r="R26" s="11">
        <v>15</v>
      </c>
      <c r="S26" s="11" t="str">
        <f>"004128"</f>
        <v>004128</v>
      </c>
      <c r="T26" s="10">
        <v>43301</v>
      </c>
      <c r="U26" s="14">
        <v>13.05817</v>
      </c>
      <c r="V26" s="14">
        <v>1.0363199999999999</v>
      </c>
      <c r="W26" s="14">
        <v>12.021850000000001</v>
      </c>
      <c r="X26" s="11">
        <v>139</v>
      </c>
      <c r="Y26" s="10">
        <v>43305</v>
      </c>
      <c r="Z26" s="11">
        <v>9972064959</v>
      </c>
      <c r="AA26" s="12" t="s">
        <v>133</v>
      </c>
      <c r="AB26" s="11" t="s">
        <v>42</v>
      </c>
      <c r="AC26" s="12" t="s">
        <v>43</v>
      </c>
      <c r="AD26" s="11" t="s">
        <v>44</v>
      </c>
      <c r="AE26" s="12" t="s">
        <v>45</v>
      </c>
      <c r="AF26" s="14">
        <v>0.13058169999999999</v>
      </c>
      <c r="AG26" s="11" t="s">
        <v>46</v>
      </c>
    </row>
    <row r="27" spans="1:33" x14ac:dyDescent="0.2">
      <c r="A27" s="8">
        <v>3960</v>
      </c>
      <c r="B27" s="9" t="s">
        <v>93</v>
      </c>
      <c r="C27" s="10">
        <v>43307</v>
      </c>
      <c r="D27" s="11">
        <v>11</v>
      </c>
      <c r="E27" s="12" t="s">
        <v>34</v>
      </c>
      <c r="F27" s="12" t="s">
        <v>35</v>
      </c>
      <c r="G27" s="12" t="s">
        <v>36</v>
      </c>
      <c r="H27" s="12" t="s">
        <v>37</v>
      </c>
      <c r="I27" s="11" t="s">
        <v>134</v>
      </c>
      <c r="J27" s="12" t="s">
        <v>135</v>
      </c>
      <c r="K27" s="13" t="s">
        <v>77</v>
      </c>
      <c r="L27" s="11" t="str">
        <f>"000163"</f>
        <v>000163</v>
      </c>
      <c r="M27" s="10">
        <v>42702</v>
      </c>
      <c r="N27" s="11" t="str">
        <f>"000059"</f>
        <v>000059</v>
      </c>
      <c r="O27" s="10">
        <v>42885</v>
      </c>
      <c r="P27" s="11" t="str">
        <f>"000131"</f>
        <v>000131</v>
      </c>
      <c r="Q27" s="10">
        <v>42886</v>
      </c>
      <c r="R27" s="11">
        <v>15</v>
      </c>
      <c r="S27" s="11" t="str">
        <f>"004226"</f>
        <v>004226</v>
      </c>
      <c r="T27" s="10">
        <v>43305</v>
      </c>
      <c r="U27" s="14">
        <v>24.847549999999998</v>
      </c>
      <c r="V27" s="14">
        <v>1.8381099999999999</v>
      </c>
      <c r="W27" s="14">
        <v>23.009440000000001</v>
      </c>
      <c r="X27" s="11">
        <v>142</v>
      </c>
      <c r="Y27" s="10">
        <v>43307</v>
      </c>
      <c r="Z27" s="11">
        <v>9449863065</v>
      </c>
      <c r="AA27" s="12" t="s">
        <v>136</v>
      </c>
      <c r="AB27" s="11" t="s">
        <v>137</v>
      </c>
      <c r="AC27" s="12" t="s">
        <v>138</v>
      </c>
      <c r="AD27" s="11" t="s">
        <v>44</v>
      </c>
      <c r="AE27" s="12" t="s">
        <v>45</v>
      </c>
      <c r="AF27" s="14">
        <v>0.24847549999999999</v>
      </c>
      <c r="AG27" s="11" t="s">
        <v>46</v>
      </c>
    </row>
    <row r="28" spans="1:33" x14ac:dyDescent="0.2">
      <c r="A28" s="8">
        <v>4067</v>
      </c>
      <c r="B28" s="9" t="s">
        <v>93</v>
      </c>
      <c r="C28" s="10">
        <v>43308</v>
      </c>
      <c r="D28" s="11">
        <v>11</v>
      </c>
      <c r="E28" s="12" t="s">
        <v>34</v>
      </c>
      <c r="F28" s="12" t="s">
        <v>35</v>
      </c>
      <c r="G28" s="12" t="s">
        <v>36</v>
      </c>
      <c r="H28" s="12" t="s">
        <v>37</v>
      </c>
      <c r="I28" s="11" t="s">
        <v>115</v>
      </c>
      <c r="J28" s="12" t="s">
        <v>116</v>
      </c>
      <c r="K28" s="13" t="s">
        <v>105</v>
      </c>
      <c r="L28" s="11" t="str">
        <f>"000002"</f>
        <v>000002</v>
      </c>
      <c r="M28" s="10">
        <v>42852</v>
      </c>
      <c r="N28" s="11" t="str">
        <f>"000031"</f>
        <v>000031</v>
      </c>
      <c r="O28" s="10">
        <v>43112</v>
      </c>
      <c r="P28" s="11" t="str">
        <f>"000031"</f>
        <v>000031</v>
      </c>
      <c r="Q28" s="10">
        <v>43112</v>
      </c>
      <c r="R28" s="11">
        <v>17</v>
      </c>
      <c r="S28" s="11" t="str">
        <f>"004881"</f>
        <v>004881</v>
      </c>
      <c r="T28" s="10">
        <v>43316</v>
      </c>
      <c r="U28" s="14">
        <v>3.5633499999999998</v>
      </c>
      <c r="V28" s="14">
        <v>0.14607999999999999</v>
      </c>
      <c r="W28" s="14">
        <v>3.4172699999999998</v>
      </c>
      <c r="X28" s="11">
        <v>146</v>
      </c>
      <c r="Y28" s="10">
        <v>43308</v>
      </c>
      <c r="Z28" s="11">
        <v>9845087137</v>
      </c>
      <c r="AA28" s="12" t="s">
        <v>117</v>
      </c>
      <c r="AB28" s="11" t="s">
        <v>118</v>
      </c>
      <c r="AC28" s="12" t="s">
        <v>119</v>
      </c>
      <c r="AD28" s="11" t="s">
        <v>79</v>
      </c>
      <c r="AE28" s="12" t="s">
        <v>80</v>
      </c>
      <c r="AF28" s="14">
        <v>3.5633499999999999E-2</v>
      </c>
      <c r="AG28" s="11" t="s">
        <v>46</v>
      </c>
    </row>
    <row r="29" spans="1:33" x14ac:dyDescent="0.2">
      <c r="A29" s="8">
        <v>4360</v>
      </c>
      <c r="B29" s="9" t="s">
        <v>139</v>
      </c>
      <c r="C29" s="10">
        <v>43318</v>
      </c>
      <c r="D29" s="11">
        <v>11</v>
      </c>
      <c r="E29" s="12" t="s">
        <v>34</v>
      </c>
      <c r="F29" s="12" t="s">
        <v>35</v>
      </c>
      <c r="G29" s="12" t="s">
        <v>36</v>
      </c>
      <c r="H29" s="12" t="s">
        <v>37</v>
      </c>
      <c r="I29" s="11" t="s">
        <v>115</v>
      </c>
      <c r="J29" s="12" t="s">
        <v>116</v>
      </c>
      <c r="K29" s="13" t="s">
        <v>105</v>
      </c>
      <c r="L29" s="11" t="str">
        <f>"000002"</f>
        <v>000002</v>
      </c>
      <c r="M29" s="10">
        <v>42852</v>
      </c>
      <c r="N29" s="11" t="str">
        <f>"000031"</f>
        <v>000031</v>
      </c>
      <c r="O29" s="10">
        <v>43112</v>
      </c>
      <c r="P29" s="11" t="str">
        <f>"000031"</f>
        <v>000031</v>
      </c>
      <c r="Q29" s="10">
        <v>43112</v>
      </c>
      <c r="R29" s="11">
        <v>17</v>
      </c>
      <c r="S29" s="11" t="str">
        <f>"004881"</f>
        <v>004881</v>
      </c>
      <c r="T29" s="10">
        <v>43316</v>
      </c>
      <c r="U29" s="14">
        <v>6.8587699999999998</v>
      </c>
      <c r="V29" s="14">
        <v>0.28122000000000003</v>
      </c>
      <c r="W29" s="14">
        <v>6.5775499999999996</v>
      </c>
      <c r="X29" s="11">
        <v>157</v>
      </c>
      <c r="Y29" s="10">
        <v>43318</v>
      </c>
      <c r="Z29" s="11">
        <v>9845087137</v>
      </c>
      <c r="AA29" s="12" t="s">
        <v>117</v>
      </c>
      <c r="AB29" s="11" t="s">
        <v>118</v>
      </c>
      <c r="AC29" s="12" t="s">
        <v>119</v>
      </c>
      <c r="AD29" s="11" t="s">
        <v>79</v>
      </c>
      <c r="AE29" s="12" t="s">
        <v>80</v>
      </c>
      <c r="AF29" s="14">
        <v>6.8587700000000001E-2</v>
      </c>
      <c r="AG29" s="11" t="s">
        <v>46</v>
      </c>
    </row>
    <row r="30" spans="1:33" x14ac:dyDescent="0.2">
      <c r="A30" s="8">
        <v>5066</v>
      </c>
      <c r="B30" s="9" t="s">
        <v>139</v>
      </c>
      <c r="C30" s="10">
        <v>43337</v>
      </c>
      <c r="D30" s="11">
        <v>11</v>
      </c>
      <c r="E30" s="12" t="s">
        <v>34</v>
      </c>
      <c r="F30" s="12" t="s">
        <v>35</v>
      </c>
      <c r="G30" s="12" t="s">
        <v>36</v>
      </c>
      <c r="H30" s="12" t="s">
        <v>37</v>
      </c>
      <c r="I30" s="11" t="s">
        <v>140</v>
      </c>
      <c r="J30" s="12" t="s">
        <v>141</v>
      </c>
      <c r="K30" s="13" t="s">
        <v>49</v>
      </c>
      <c r="L30" s="11" t="str">
        <f>"000135"</f>
        <v>000135</v>
      </c>
      <c r="M30" s="10">
        <v>43186</v>
      </c>
      <c r="N30" s="11" t="str">
        <f>"000030"</f>
        <v>000030</v>
      </c>
      <c r="O30" s="10">
        <v>43300</v>
      </c>
      <c r="P30" s="11" t="str">
        <f>"000057"</f>
        <v>000057</v>
      </c>
      <c r="Q30" s="10">
        <v>43302</v>
      </c>
      <c r="R30" s="11">
        <v>18</v>
      </c>
      <c r="S30" s="11" t="str">
        <f>"005232"</f>
        <v>005232</v>
      </c>
      <c r="T30" s="10">
        <v>43326</v>
      </c>
      <c r="U30" s="14">
        <v>23.993169999999999</v>
      </c>
      <c r="V30" s="14">
        <v>2.2337600000000002</v>
      </c>
      <c r="W30" s="14">
        <v>21.759409999999999</v>
      </c>
      <c r="X30" s="11">
        <v>181</v>
      </c>
      <c r="Y30" s="10">
        <v>43337</v>
      </c>
      <c r="Z30" s="11">
        <v>9449863065</v>
      </c>
      <c r="AA30" s="12" t="s">
        <v>64</v>
      </c>
      <c r="AB30" s="11" t="s">
        <v>65</v>
      </c>
      <c r="AC30" s="12" t="s">
        <v>66</v>
      </c>
      <c r="AD30" s="11" t="s">
        <v>44</v>
      </c>
      <c r="AE30" s="12" t="s">
        <v>45</v>
      </c>
      <c r="AF30" s="14">
        <v>0.2399317</v>
      </c>
      <c r="AG30" s="11" t="s">
        <v>67</v>
      </c>
    </row>
    <row r="31" spans="1:33" x14ac:dyDescent="0.2">
      <c r="A31" s="8">
        <v>5067</v>
      </c>
      <c r="B31" s="9" t="s">
        <v>139</v>
      </c>
      <c r="C31" s="10">
        <v>43337</v>
      </c>
      <c r="D31" s="11">
        <v>11</v>
      </c>
      <c r="E31" s="12" t="s">
        <v>34</v>
      </c>
      <c r="F31" s="12" t="s">
        <v>35</v>
      </c>
      <c r="G31" s="12" t="s">
        <v>36</v>
      </c>
      <c r="H31" s="12" t="s">
        <v>37</v>
      </c>
      <c r="I31" s="11" t="s">
        <v>142</v>
      </c>
      <c r="J31" s="12" t="s">
        <v>143</v>
      </c>
      <c r="K31" s="13" t="s">
        <v>49</v>
      </c>
      <c r="L31" s="11" t="str">
        <f>"000138"</f>
        <v>000138</v>
      </c>
      <c r="M31" s="10">
        <v>43186</v>
      </c>
      <c r="N31" s="11" t="str">
        <f>"000029"</f>
        <v>000029</v>
      </c>
      <c r="O31" s="10">
        <v>43300</v>
      </c>
      <c r="P31" s="11" t="str">
        <f>"000058"</f>
        <v>000058</v>
      </c>
      <c r="Q31" s="10">
        <v>43302</v>
      </c>
      <c r="R31" s="11">
        <v>18</v>
      </c>
      <c r="S31" s="11" t="str">
        <f>"005233"</f>
        <v>005233</v>
      </c>
      <c r="T31" s="10">
        <v>43326</v>
      </c>
      <c r="U31" s="14">
        <v>24.916969999999999</v>
      </c>
      <c r="V31" s="14">
        <v>2.3222700000000001</v>
      </c>
      <c r="W31" s="14">
        <v>22.5947</v>
      </c>
      <c r="X31" s="11">
        <v>181</v>
      </c>
      <c r="Y31" s="10">
        <v>43337</v>
      </c>
      <c r="Z31" s="11">
        <v>9449863065</v>
      </c>
      <c r="AA31" s="12" t="s">
        <v>64</v>
      </c>
      <c r="AB31" s="11" t="s">
        <v>65</v>
      </c>
      <c r="AC31" s="12" t="s">
        <v>66</v>
      </c>
      <c r="AD31" s="11" t="s">
        <v>44</v>
      </c>
      <c r="AE31" s="12" t="s">
        <v>45</v>
      </c>
      <c r="AF31" s="14">
        <v>0.24916969999999999</v>
      </c>
      <c r="AG31" s="11" t="s">
        <v>67</v>
      </c>
    </row>
    <row r="32" spans="1:33" x14ac:dyDescent="0.2">
      <c r="A32" s="8">
        <v>5068</v>
      </c>
      <c r="B32" s="9" t="s">
        <v>139</v>
      </c>
      <c r="C32" s="10">
        <v>43337</v>
      </c>
      <c r="D32" s="11">
        <v>11</v>
      </c>
      <c r="E32" s="12" t="s">
        <v>34</v>
      </c>
      <c r="F32" s="12" t="s">
        <v>35</v>
      </c>
      <c r="G32" s="12" t="s">
        <v>36</v>
      </c>
      <c r="H32" s="12" t="s">
        <v>37</v>
      </c>
      <c r="I32" s="11" t="s">
        <v>144</v>
      </c>
      <c r="J32" s="12" t="s">
        <v>145</v>
      </c>
      <c r="K32" s="13" t="s">
        <v>49</v>
      </c>
      <c r="L32" s="11" t="str">
        <f>"000140"</f>
        <v>000140</v>
      </c>
      <c r="M32" s="10">
        <v>43186</v>
      </c>
      <c r="N32" s="11" t="str">
        <f>"000031"</f>
        <v>000031</v>
      </c>
      <c r="O32" s="10">
        <v>43300</v>
      </c>
      <c r="P32" s="11" t="str">
        <f>"000055"</f>
        <v>000055</v>
      </c>
      <c r="Q32" s="10">
        <v>43301</v>
      </c>
      <c r="R32" s="11">
        <v>18</v>
      </c>
      <c r="S32" s="11" t="str">
        <f>"005234"</f>
        <v>005234</v>
      </c>
      <c r="T32" s="10">
        <v>43326</v>
      </c>
      <c r="U32" s="14">
        <v>23.990369999999999</v>
      </c>
      <c r="V32" s="14">
        <v>2.2211099999999999</v>
      </c>
      <c r="W32" s="14">
        <v>21.769259999999999</v>
      </c>
      <c r="X32" s="11">
        <v>181</v>
      </c>
      <c r="Y32" s="10">
        <v>43337</v>
      </c>
      <c r="Z32" s="11">
        <v>9449863065</v>
      </c>
      <c r="AA32" s="12" t="s">
        <v>64</v>
      </c>
      <c r="AB32" s="11" t="s">
        <v>65</v>
      </c>
      <c r="AC32" s="12" t="s">
        <v>66</v>
      </c>
      <c r="AD32" s="11" t="s">
        <v>44</v>
      </c>
      <c r="AE32" s="12" t="s">
        <v>45</v>
      </c>
      <c r="AF32" s="14">
        <v>0.2399037</v>
      </c>
      <c r="AG32" s="11" t="s">
        <v>67</v>
      </c>
    </row>
    <row r="33" spans="1:33" x14ac:dyDescent="0.2">
      <c r="A33" s="8">
        <v>5069</v>
      </c>
      <c r="B33" s="9" t="s">
        <v>139</v>
      </c>
      <c r="C33" s="10">
        <v>43337</v>
      </c>
      <c r="D33" s="11">
        <v>11</v>
      </c>
      <c r="E33" s="12" t="s">
        <v>34</v>
      </c>
      <c r="F33" s="12" t="s">
        <v>35</v>
      </c>
      <c r="G33" s="12" t="s">
        <v>36</v>
      </c>
      <c r="H33" s="12" t="s">
        <v>37</v>
      </c>
      <c r="I33" s="11" t="s">
        <v>146</v>
      </c>
      <c r="J33" s="12" t="s">
        <v>147</v>
      </c>
      <c r="K33" s="13" t="s">
        <v>49</v>
      </c>
      <c r="L33" s="11" t="str">
        <f>"000148"</f>
        <v>000148</v>
      </c>
      <c r="M33" s="10">
        <v>43186</v>
      </c>
      <c r="N33" s="11" t="str">
        <f>"000032"</f>
        <v>000032</v>
      </c>
      <c r="O33" s="10">
        <v>43300</v>
      </c>
      <c r="P33" s="11" t="str">
        <f>"000056"</f>
        <v>000056</v>
      </c>
      <c r="Q33" s="10">
        <v>43302</v>
      </c>
      <c r="R33" s="11">
        <v>18</v>
      </c>
      <c r="S33" s="11" t="str">
        <f>"005235"</f>
        <v>005235</v>
      </c>
      <c r="T33" s="10">
        <v>43326</v>
      </c>
      <c r="U33" s="14">
        <v>19.982250000000001</v>
      </c>
      <c r="V33" s="14">
        <v>1.8583499999999999</v>
      </c>
      <c r="W33" s="14">
        <v>18.123899999999999</v>
      </c>
      <c r="X33" s="11">
        <v>181</v>
      </c>
      <c r="Y33" s="10">
        <v>43337</v>
      </c>
      <c r="Z33" s="11">
        <v>9449863065</v>
      </c>
      <c r="AA33" s="12" t="s">
        <v>64</v>
      </c>
      <c r="AB33" s="11" t="s">
        <v>65</v>
      </c>
      <c r="AC33" s="12" t="s">
        <v>66</v>
      </c>
      <c r="AD33" s="11" t="s">
        <v>44</v>
      </c>
      <c r="AE33" s="12" t="s">
        <v>45</v>
      </c>
      <c r="AF33" s="14">
        <v>0.19982250000000001</v>
      </c>
      <c r="AG33" s="11" t="s">
        <v>67</v>
      </c>
    </row>
    <row r="34" spans="1:33" x14ac:dyDescent="0.2">
      <c r="A34" s="8">
        <v>5124</v>
      </c>
      <c r="B34" s="9" t="s">
        <v>139</v>
      </c>
      <c r="C34" s="10">
        <v>43339</v>
      </c>
      <c r="D34" s="11">
        <v>11</v>
      </c>
      <c r="E34" s="12" t="s">
        <v>34</v>
      </c>
      <c r="F34" s="12" t="s">
        <v>35</v>
      </c>
      <c r="G34" s="12" t="s">
        <v>36</v>
      </c>
      <c r="H34" s="12" t="s">
        <v>37</v>
      </c>
      <c r="I34" s="11" t="s">
        <v>148</v>
      </c>
      <c r="J34" s="12" t="s">
        <v>149</v>
      </c>
      <c r="K34" s="13" t="s">
        <v>105</v>
      </c>
      <c r="L34" s="11" t="str">
        <f>"000071"</f>
        <v>000071</v>
      </c>
      <c r="M34" s="10">
        <v>43182</v>
      </c>
      <c r="N34" s="11" t="str">
        <f>"000081"</f>
        <v>000081</v>
      </c>
      <c r="O34" s="10">
        <v>43315</v>
      </c>
      <c r="P34" s="11" t="str">
        <f>"000077"</f>
        <v>000077</v>
      </c>
      <c r="Q34" s="10">
        <v>43315</v>
      </c>
      <c r="R34" s="11">
        <v>17</v>
      </c>
      <c r="S34" s="11" t="str">
        <f>"005385"</f>
        <v>005385</v>
      </c>
      <c r="T34" s="10">
        <v>43337</v>
      </c>
      <c r="U34" s="14">
        <v>112.68944999999999</v>
      </c>
      <c r="V34" s="14">
        <v>3.02433</v>
      </c>
      <c r="W34" s="14">
        <v>109.66512</v>
      </c>
      <c r="X34" s="11">
        <v>183</v>
      </c>
      <c r="Y34" s="10">
        <v>43339</v>
      </c>
      <c r="Z34" s="11">
        <v>7760405418</v>
      </c>
      <c r="AA34" s="12" t="s">
        <v>150</v>
      </c>
      <c r="AB34" s="11" t="s">
        <v>151</v>
      </c>
      <c r="AC34" s="12" t="s">
        <v>152</v>
      </c>
      <c r="AD34" s="11" t="s">
        <v>153</v>
      </c>
      <c r="AE34" s="12" t="s">
        <v>154</v>
      </c>
      <c r="AF34" s="14">
        <v>1.1268944999999999</v>
      </c>
      <c r="AG34" s="11" t="s">
        <v>67</v>
      </c>
    </row>
    <row r="35" spans="1:33" x14ac:dyDescent="0.2">
      <c r="A35" s="8">
        <v>5165</v>
      </c>
      <c r="B35" s="9" t="s">
        <v>155</v>
      </c>
      <c r="C35" s="10">
        <v>43346</v>
      </c>
      <c r="D35" s="11">
        <v>11</v>
      </c>
      <c r="E35" s="12" t="s">
        <v>34</v>
      </c>
      <c r="F35" s="12" t="s">
        <v>35</v>
      </c>
      <c r="G35" s="12" t="s">
        <v>36</v>
      </c>
      <c r="H35" s="12" t="s">
        <v>37</v>
      </c>
      <c r="I35" s="11" t="s">
        <v>156</v>
      </c>
      <c r="J35" s="12" t="s">
        <v>157</v>
      </c>
      <c r="K35" s="13" t="s">
        <v>49</v>
      </c>
      <c r="L35" s="11" t="str">
        <f>"000007"</f>
        <v>000007</v>
      </c>
      <c r="M35" s="10">
        <v>43276</v>
      </c>
      <c r="N35" s="11" t="str">
        <f>"000034"</f>
        <v>000034</v>
      </c>
      <c r="O35" s="10">
        <v>43306</v>
      </c>
      <c r="P35" s="11" t="str">
        <f>"000061"</f>
        <v>000061</v>
      </c>
      <c r="Q35" s="10">
        <v>43311</v>
      </c>
      <c r="R35" s="11">
        <v>18</v>
      </c>
      <c r="S35" s="11" t="str">
        <f>"005480"</f>
        <v>005480</v>
      </c>
      <c r="T35" s="10">
        <v>43340</v>
      </c>
      <c r="U35" s="14">
        <v>24.521750000000001</v>
      </c>
      <c r="V35" s="14">
        <v>2.2805300000000002</v>
      </c>
      <c r="W35" s="14">
        <v>22.241219999999998</v>
      </c>
      <c r="X35" s="11">
        <v>187</v>
      </c>
      <c r="Y35" s="10">
        <v>43346</v>
      </c>
      <c r="Z35" s="11">
        <v>9449863065</v>
      </c>
      <c r="AA35" s="12" t="s">
        <v>158</v>
      </c>
      <c r="AB35" s="11" t="s">
        <v>65</v>
      </c>
      <c r="AC35" s="12" t="s">
        <v>66</v>
      </c>
      <c r="AD35" s="11" t="s">
        <v>44</v>
      </c>
      <c r="AE35" s="12" t="s">
        <v>45</v>
      </c>
      <c r="AF35" s="14">
        <f t="shared" ref="AF35:AF56" si="0">U35/100</f>
        <v>0.2452175</v>
      </c>
      <c r="AG35" s="11" t="s">
        <v>159</v>
      </c>
    </row>
    <row r="36" spans="1:33" x14ac:dyDescent="0.2">
      <c r="A36" s="8">
        <v>5166</v>
      </c>
      <c r="B36" s="9" t="s">
        <v>155</v>
      </c>
      <c r="C36" s="10">
        <v>43346</v>
      </c>
      <c r="D36" s="11">
        <v>11</v>
      </c>
      <c r="E36" s="12" t="s">
        <v>34</v>
      </c>
      <c r="F36" s="12" t="s">
        <v>35</v>
      </c>
      <c r="G36" s="12" t="s">
        <v>36</v>
      </c>
      <c r="H36" s="12" t="s">
        <v>37</v>
      </c>
      <c r="I36" s="11" t="s">
        <v>160</v>
      </c>
      <c r="J36" s="12" t="s">
        <v>161</v>
      </c>
      <c r="K36" s="13" t="s">
        <v>49</v>
      </c>
      <c r="L36" s="11" t="str">
        <f>"000008"</f>
        <v>000008</v>
      </c>
      <c r="M36" s="10">
        <v>43276</v>
      </c>
      <c r="N36" s="11" t="str">
        <f>"000033"</f>
        <v>000033</v>
      </c>
      <c r="O36" s="10">
        <v>43306</v>
      </c>
      <c r="P36" s="11" t="str">
        <f>"000062"</f>
        <v>000062</v>
      </c>
      <c r="Q36" s="10">
        <v>43311</v>
      </c>
      <c r="R36" s="11">
        <v>18</v>
      </c>
      <c r="S36" s="11" t="str">
        <f>"005481"</f>
        <v>005481</v>
      </c>
      <c r="T36" s="10">
        <v>43340</v>
      </c>
      <c r="U36" s="14">
        <v>24.9892</v>
      </c>
      <c r="V36" s="14">
        <v>2.3239899999999998</v>
      </c>
      <c r="W36" s="14">
        <v>22.665209999999998</v>
      </c>
      <c r="X36" s="11">
        <v>187</v>
      </c>
      <c r="Y36" s="10">
        <v>43346</v>
      </c>
      <c r="Z36" s="11">
        <v>9449863065</v>
      </c>
      <c r="AA36" s="12" t="s">
        <v>158</v>
      </c>
      <c r="AB36" s="11" t="s">
        <v>65</v>
      </c>
      <c r="AC36" s="12" t="s">
        <v>66</v>
      </c>
      <c r="AD36" s="11" t="s">
        <v>44</v>
      </c>
      <c r="AE36" s="12" t="s">
        <v>45</v>
      </c>
      <c r="AF36" s="14">
        <f t="shared" si="0"/>
        <v>0.249892</v>
      </c>
      <c r="AG36" s="11" t="s">
        <v>159</v>
      </c>
    </row>
    <row r="37" spans="1:33" x14ac:dyDescent="0.2">
      <c r="A37" s="8">
        <v>5442</v>
      </c>
      <c r="B37" s="9" t="s">
        <v>155</v>
      </c>
      <c r="C37" s="10">
        <v>43357</v>
      </c>
      <c r="D37" s="11">
        <v>11</v>
      </c>
      <c r="E37" s="12" t="s">
        <v>34</v>
      </c>
      <c r="F37" s="12" t="s">
        <v>35</v>
      </c>
      <c r="G37" s="12" t="s">
        <v>36</v>
      </c>
      <c r="H37" s="12" t="s">
        <v>37</v>
      </c>
      <c r="I37" s="11" t="s">
        <v>162</v>
      </c>
      <c r="J37" s="12" t="s">
        <v>163</v>
      </c>
      <c r="K37" s="13" t="s">
        <v>77</v>
      </c>
      <c r="L37" s="11" t="str">
        <f>"000020"</f>
        <v>000020</v>
      </c>
      <c r="M37" s="10">
        <v>42881</v>
      </c>
      <c r="N37" s="11" t="str">
        <f>"000061"</f>
        <v>000061</v>
      </c>
      <c r="O37" s="10">
        <v>42916</v>
      </c>
      <c r="P37" s="11" t="str">
        <f>"000061"</f>
        <v>000061</v>
      </c>
      <c r="Q37" s="10">
        <v>42916</v>
      </c>
      <c r="R37" s="11">
        <v>17</v>
      </c>
      <c r="S37" s="11" t="str">
        <f>"005636"</f>
        <v>005636</v>
      </c>
      <c r="T37" s="10">
        <v>43349</v>
      </c>
      <c r="U37" s="14">
        <v>17.140450000000001</v>
      </c>
      <c r="V37" s="14">
        <v>1.04556</v>
      </c>
      <c r="W37" s="14">
        <v>16.094889999999999</v>
      </c>
      <c r="X37" s="11">
        <v>203</v>
      </c>
      <c r="Y37" s="10">
        <v>43357</v>
      </c>
      <c r="Z37" s="11">
        <v>9341423529</v>
      </c>
      <c r="AA37" s="12" t="s">
        <v>164</v>
      </c>
      <c r="AB37" s="11" t="s">
        <v>165</v>
      </c>
      <c r="AC37" s="12" t="s">
        <v>166</v>
      </c>
      <c r="AD37" s="11" t="s">
        <v>79</v>
      </c>
      <c r="AE37" s="12" t="s">
        <v>80</v>
      </c>
      <c r="AF37" s="14">
        <f t="shared" si="0"/>
        <v>0.17140450000000002</v>
      </c>
      <c r="AG37" s="11" t="s">
        <v>46</v>
      </c>
    </row>
    <row r="38" spans="1:33" x14ac:dyDescent="0.2">
      <c r="A38" s="8">
        <v>5918</v>
      </c>
      <c r="B38" s="9" t="s">
        <v>167</v>
      </c>
      <c r="C38" s="10">
        <v>43385</v>
      </c>
      <c r="D38" s="11">
        <v>11</v>
      </c>
      <c r="E38" s="12" t="s">
        <v>34</v>
      </c>
      <c r="F38" s="12" t="s">
        <v>35</v>
      </c>
      <c r="G38" s="12" t="s">
        <v>36</v>
      </c>
      <c r="H38" s="12" t="s">
        <v>37</v>
      </c>
      <c r="I38" s="11" t="s">
        <v>168</v>
      </c>
      <c r="J38" s="12" t="s">
        <v>169</v>
      </c>
      <c r="K38" s="13" t="s">
        <v>170</v>
      </c>
      <c r="L38" s="11" t="str">
        <f>"000131"</f>
        <v>000131</v>
      </c>
      <c r="M38" s="10">
        <v>42916</v>
      </c>
      <c r="N38" s="11" t="str">
        <f>"000009"</f>
        <v>000009</v>
      </c>
      <c r="O38" s="10">
        <v>42853</v>
      </c>
      <c r="P38" s="11" t="str">
        <f>"000029"</f>
        <v>000029</v>
      </c>
      <c r="Q38" s="10">
        <v>42853</v>
      </c>
      <c r="R38" s="11">
        <v>16</v>
      </c>
      <c r="S38" s="11" t="str">
        <f>"006024"</f>
        <v>006024</v>
      </c>
      <c r="T38" s="10">
        <v>43374</v>
      </c>
      <c r="U38" s="14">
        <v>14.9937</v>
      </c>
      <c r="V38" s="14">
        <v>1.9072100000000001</v>
      </c>
      <c r="W38" s="14">
        <v>13.08649</v>
      </c>
      <c r="X38" s="11">
        <v>230</v>
      </c>
      <c r="Y38" s="10">
        <v>43385</v>
      </c>
      <c r="Z38" s="11">
        <v>9449863065</v>
      </c>
      <c r="AA38" s="12" t="s">
        <v>74</v>
      </c>
      <c r="AB38" s="11" t="s">
        <v>171</v>
      </c>
      <c r="AC38" s="12" t="s">
        <v>172</v>
      </c>
      <c r="AD38" s="11" t="s">
        <v>44</v>
      </c>
      <c r="AE38" s="12" t="s">
        <v>45</v>
      </c>
      <c r="AF38" s="14">
        <f t="shared" si="0"/>
        <v>0.14993700000000001</v>
      </c>
      <c r="AG38" s="11" t="s">
        <v>46</v>
      </c>
    </row>
    <row r="39" spans="1:33" x14ac:dyDescent="0.2">
      <c r="A39" s="8">
        <v>5919</v>
      </c>
      <c r="B39" s="9" t="s">
        <v>167</v>
      </c>
      <c r="C39" s="10">
        <v>43385</v>
      </c>
      <c r="D39" s="11">
        <v>11</v>
      </c>
      <c r="E39" s="12" t="s">
        <v>34</v>
      </c>
      <c r="F39" s="12" t="s">
        <v>35</v>
      </c>
      <c r="G39" s="12" t="s">
        <v>36</v>
      </c>
      <c r="H39" s="12" t="s">
        <v>37</v>
      </c>
      <c r="I39" s="11" t="s">
        <v>173</v>
      </c>
      <c r="J39" s="12" t="s">
        <v>174</v>
      </c>
      <c r="K39" s="13" t="s">
        <v>49</v>
      </c>
      <c r="L39" s="11" t="str">
        <f>"000137"</f>
        <v>000137</v>
      </c>
      <c r="M39" s="10">
        <v>42916</v>
      </c>
      <c r="N39" s="11" t="str">
        <f>"000010"</f>
        <v>000010</v>
      </c>
      <c r="O39" s="10">
        <v>42853</v>
      </c>
      <c r="P39" s="11" t="str">
        <f>"000030"</f>
        <v>000030</v>
      </c>
      <c r="Q39" s="10">
        <v>42853</v>
      </c>
      <c r="R39" s="11">
        <v>16</v>
      </c>
      <c r="S39" s="11" t="str">
        <f>"006026"</f>
        <v>006026</v>
      </c>
      <c r="T39" s="10">
        <v>43374</v>
      </c>
      <c r="U39" s="14">
        <v>29.992059999999999</v>
      </c>
      <c r="V39" s="14">
        <v>3.9769399999999999</v>
      </c>
      <c r="W39" s="14">
        <v>26.01512</v>
      </c>
      <c r="X39" s="11">
        <v>230</v>
      </c>
      <c r="Y39" s="10">
        <v>43385</v>
      </c>
      <c r="Z39" s="11">
        <v>9449863065</v>
      </c>
      <c r="AA39" s="12" t="s">
        <v>74</v>
      </c>
      <c r="AB39" s="11" t="s">
        <v>171</v>
      </c>
      <c r="AC39" s="12" t="s">
        <v>172</v>
      </c>
      <c r="AD39" s="11" t="s">
        <v>44</v>
      </c>
      <c r="AE39" s="12" t="s">
        <v>45</v>
      </c>
      <c r="AF39" s="14">
        <f t="shared" si="0"/>
        <v>0.29992059999999998</v>
      </c>
      <c r="AG39" s="11" t="s">
        <v>46</v>
      </c>
    </row>
    <row r="40" spans="1:33" x14ac:dyDescent="0.2">
      <c r="A40" s="8">
        <v>5920</v>
      </c>
      <c r="B40" s="9" t="s">
        <v>167</v>
      </c>
      <c r="C40" s="10">
        <v>43385</v>
      </c>
      <c r="D40" s="11">
        <v>11</v>
      </c>
      <c r="E40" s="12" t="s">
        <v>34</v>
      </c>
      <c r="F40" s="12" t="s">
        <v>35</v>
      </c>
      <c r="G40" s="12" t="s">
        <v>36</v>
      </c>
      <c r="H40" s="12" t="s">
        <v>37</v>
      </c>
      <c r="I40" s="11" t="s">
        <v>175</v>
      </c>
      <c r="J40" s="12" t="s">
        <v>176</v>
      </c>
      <c r="K40" s="13" t="s">
        <v>49</v>
      </c>
      <c r="L40" s="11" t="str">
        <f>"000035"</f>
        <v>000035</v>
      </c>
      <c r="M40" s="10">
        <v>42510</v>
      </c>
      <c r="N40" s="11" t="str">
        <f>"000006"</f>
        <v>000006</v>
      </c>
      <c r="O40" s="10">
        <v>42853</v>
      </c>
      <c r="P40" s="11" t="str">
        <f>"000023"</f>
        <v>000023</v>
      </c>
      <c r="Q40" s="10">
        <v>42853</v>
      </c>
      <c r="R40" s="11">
        <v>16</v>
      </c>
      <c r="S40" s="11" t="str">
        <f>"006060"</f>
        <v>006060</v>
      </c>
      <c r="T40" s="10">
        <v>43374</v>
      </c>
      <c r="U40" s="14">
        <v>44.225409999999997</v>
      </c>
      <c r="V40" s="14">
        <v>3.3611300000000002</v>
      </c>
      <c r="W40" s="14">
        <v>40.864280000000001</v>
      </c>
      <c r="X40" s="11">
        <v>230</v>
      </c>
      <c r="Y40" s="10">
        <v>43385</v>
      </c>
      <c r="Z40" s="11">
        <v>9845818296</v>
      </c>
      <c r="AA40" s="12" t="s">
        <v>177</v>
      </c>
      <c r="AB40" s="11" t="s">
        <v>51</v>
      </c>
      <c r="AC40" s="12" t="s">
        <v>52</v>
      </c>
      <c r="AD40" s="11" t="s">
        <v>44</v>
      </c>
      <c r="AE40" s="12" t="s">
        <v>45</v>
      </c>
      <c r="AF40" s="14">
        <f t="shared" si="0"/>
        <v>0.44225409999999998</v>
      </c>
      <c r="AG40" s="11" t="s">
        <v>46</v>
      </c>
    </row>
    <row r="41" spans="1:33" x14ac:dyDescent="0.2">
      <c r="A41" s="8">
        <v>5921</v>
      </c>
      <c r="B41" s="9" t="s">
        <v>167</v>
      </c>
      <c r="C41" s="10">
        <v>43385</v>
      </c>
      <c r="D41" s="11">
        <v>11</v>
      </c>
      <c r="E41" s="12" t="s">
        <v>34</v>
      </c>
      <c r="F41" s="12" t="s">
        <v>35</v>
      </c>
      <c r="G41" s="12" t="s">
        <v>36</v>
      </c>
      <c r="H41" s="12" t="s">
        <v>37</v>
      </c>
      <c r="I41" s="11" t="s">
        <v>178</v>
      </c>
      <c r="J41" s="12" t="s">
        <v>179</v>
      </c>
      <c r="K41" s="13" t="s">
        <v>49</v>
      </c>
      <c r="L41" s="11" t="str">
        <f>"000034"</f>
        <v>000034</v>
      </c>
      <c r="M41" s="10">
        <v>42510</v>
      </c>
      <c r="N41" s="11" t="str">
        <f>"000007"</f>
        <v>000007</v>
      </c>
      <c r="O41" s="10">
        <v>42853</v>
      </c>
      <c r="P41" s="11" t="str">
        <f>"000024"</f>
        <v>000024</v>
      </c>
      <c r="Q41" s="10">
        <v>42853</v>
      </c>
      <c r="R41" s="11">
        <v>16</v>
      </c>
      <c r="S41" s="11" t="str">
        <f>"006061"</f>
        <v>006061</v>
      </c>
      <c r="T41" s="10">
        <v>43374</v>
      </c>
      <c r="U41" s="14">
        <v>45.795940000000002</v>
      </c>
      <c r="V41" s="14">
        <v>3.4805000000000001</v>
      </c>
      <c r="W41" s="14">
        <v>42.315440000000002</v>
      </c>
      <c r="X41" s="11">
        <v>230</v>
      </c>
      <c r="Y41" s="10">
        <v>43385</v>
      </c>
      <c r="Z41" s="11">
        <v>9845818296</v>
      </c>
      <c r="AA41" s="12" t="s">
        <v>180</v>
      </c>
      <c r="AB41" s="11" t="s">
        <v>51</v>
      </c>
      <c r="AC41" s="12" t="s">
        <v>52</v>
      </c>
      <c r="AD41" s="11" t="s">
        <v>44</v>
      </c>
      <c r="AE41" s="12" t="s">
        <v>45</v>
      </c>
      <c r="AF41" s="14">
        <f t="shared" si="0"/>
        <v>0.45795940000000002</v>
      </c>
      <c r="AG41" s="11" t="s">
        <v>46</v>
      </c>
    </row>
    <row r="42" spans="1:33" x14ac:dyDescent="0.2">
      <c r="A42" s="8">
        <v>7951</v>
      </c>
      <c r="B42" s="9" t="s">
        <v>181</v>
      </c>
      <c r="C42" s="10">
        <v>43455</v>
      </c>
      <c r="D42" s="11">
        <v>11</v>
      </c>
      <c r="E42" s="12" t="s">
        <v>34</v>
      </c>
      <c r="F42" s="12" t="s">
        <v>35</v>
      </c>
      <c r="G42" s="12" t="s">
        <v>36</v>
      </c>
      <c r="H42" s="12" t="s">
        <v>37</v>
      </c>
      <c r="I42" s="11" t="s">
        <v>182</v>
      </c>
      <c r="J42" s="12" t="s">
        <v>183</v>
      </c>
      <c r="K42" s="13" t="s">
        <v>170</v>
      </c>
      <c r="L42" s="11" t="str">
        <f>"000136"</f>
        <v>000136</v>
      </c>
      <c r="M42" s="10">
        <v>42667</v>
      </c>
      <c r="N42" s="11" t="str">
        <f>"000097"</f>
        <v>000097</v>
      </c>
      <c r="O42" s="10">
        <v>42886</v>
      </c>
      <c r="P42" s="11" t="str">
        <f>"000097"</f>
        <v>000097</v>
      </c>
      <c r="Q42" s="10">
        <v>42886</v>
      </c>
      <c r="R42" s="11">
        <v>16</v>
      </c>
      <c r="S42" s="11" t="str">
        <f>"007737"</f>
        <v>007737</v>
      </c>
      <c r="T42" s="10">
        <v>43441</v>
      </c>
      <c r="U42" s="14">
        <v>4.9965599999999997</v>
      </c>
      <c r="V42" s="14">
        <v>0.65256999999999998</v>
      </c>
      <c r="W42" s="14">
        <v>4.3439899999999998</v>
      </c>
      <c r="X42" s="11">
        <v>301</v>
      </c>
      <c r="Y42" s="10">
        <v>43455</v>
      </c>
      <c r="Z42" s="11">
        <v>0</v>
      </c>
      <c r="AA42" s="12" t="s">
        <v>74</v>
      </c>
      <c r="AB42" s="11" t="s">
        <v>171</v>
      </c>
      <c r="AC42" s="12" t="s">
        <v>172</v>
      </c>
      <c r="AD42" s="11" t="s">
        <v>44</v>
      </c>
      <c r="AE42" s="12" t="s">
        <v>45</v>
      </c>
      <c r="AF42" s="14">
        <f t="shared" si="0"/>
        <v>4.9965599999999999E-2</v>
      </c>
      <c r="AG42" s="11" t="s">
        <v>46</v>
      </c>
    </row>
    <row r="43" spans="1:33" x14ac:dyDescent="0.2">
      <c r="A43" s="8">
        <v>7952</v>
      </c>
      <c r="B43" s="9" t="s">
        <v>181</v>
      </c>
      <c r="C43" s="10">
        <v>43455</v>
      </c>
      <c r="D43" s="11">
        <v>11</v>
      </c>
      <c r="E43" s="12" t="s">
        <v>34</v>
      </c>
      <c r="F43" s="12" t="s">
        <v>35</v>
      </c>
      <c r="G43" s="12" t="s">
        <v>36</v>
      </c>
      <c r="H43" s="12" t="s">
        <v>37</v>
      </c>
      <c r="I43" s="11" t="s">
        <v>184</v>
      </c>
      <c r="J43" s="12" t="s">
        <v>185</v>
      </c>
      <c r="K43" s="13" t="s">
        <v>77</v>
      </c>
      <c r="L43" s="11" t="str">
        <f>"000132"</f>
        <v>000132</v>
      </c>
      <c r="M43" s="10">
        <v>42667</v>
      </c>
      <c r="N43" s="11" t="str">
        <f>"000098"</f>
        <v>000098</v>
      </c>
      <c r="O43" s="10">
        <v>42886</v>
      </c>
      <c r="P43" s="11" t="str">
        <f>"000098"</f>
        <v>000098</v>
      </c>
      <c r="Q43" s="10">
        <v>42886</v>
      </c>
      <c r="R43" s="11">
        <v>16</v>
      </c>
      <c r="S43" s="11" t="str">
        <f>"007738"</f>
        <v>007738</v>
      </c>
      <c r="T43" s="10">
        <v>43441</v>
      </c>
      <c r="U43" s="14">
        <v>4.9824200000000003</v>
      </c>
      <c r="V43" s="14">
        <v>0.68566000000000005</v>
      </c>
      <c r="W43" s="14">
        <v>4.2967599999999999</v>
      </c>
      <c r="X43" s="11">
        <v>301</v>
      </c>
      <c r="Y43" s="10">
        <v>43455</v>
      </c>
      <c r="Z43" s="11">
        <v>0</v>
      </c>
      <c r="AA43" s="12" t="s">
        <v>74</v>
      </c>
      <c r="AB43" s="11" t="s">
        <v>171</v>
      </c>
      <c r="AC43" s="12" t="s">
        <v>172</v>
      </c>
      <c r="AD43" s="11" t="s">
        <v>44</v>
      </c>
      <c r="AE43" s="12" t="s">
        <v>45</v>
      </c>
      <c r="AF43" s="14">
        <f t="shared" si="0"/>
        <v>4.9824200000000006E-2</v>
      </c>
      <c r="AG43" s="11" t="s">
        <v>46</v>
      </c>
    </row>
    <row r="44" spans="1:33" x14ac:dyDescent="0.2">
      <c r="A44" s="8">
        <v>7953</v>
      </c>
      <c r="B44" s="9" t="s">
        <v>181</v>
      </c>
      <c r="C44" s="10">
        <v>43455</v>
      </c>
      <c r="D44" s="11">
        <v>11</v>
      </c>
      <c r="E44" s="12" t="s">
        <v>34</v>
      </c>
      <c r="F44" s="12" t="s">
        <v>35</v>
      </c>
      <c r="G44" s="12" t="s">
        <v>36</v>
      </c>
      <c r="H44" s="12" t="s">
        <v>37</v>
      </c>
      <c r="I44" s="11" t="s">
        <v>186</v>
      </c>
      <c r="J44" s="12" t="s">
        <v>187</v>
      </c>
      <c r="K44" s="13" t="s">
        <v>170</v>
      </c>
      <c r="L44" s="11" t="str">
        <f>"000135"</f>
        <v>000135</v>
      </c>
      <c r="M44" s="10">
        <v>42667</v>
      </c>
      <c r="N44" s="11" t="str">
        <f>"000047"</f>
        <v>000047</v>
      </c>
      <c r="O44" s="10">
        <v>42885</v>
      </c>
      <c r="P44" s="11" t="str">
        <f>"000099"</f>
        <v>000099</v>
      </c>
      <c r="Q44" s="10">
        <v>42886</v>
      </c>
      <c r="R44" s="11">
        <v>16</v>
      </c>
      <c r="S44" s="11" t="str">
        <f>"007739"</f>
        <v>007739</v>
      </c>
      <c r="T44" s="10">
        <v>43441</v>
      </c>
      <c r="U44" s="14">
        <v>14.99239</v>
      </c>
      <c r="V44" s="14">
        <v>2.0569899999999999</v>
      </c>
      <c r="W44" s="14">
        <v>12.9354</v>
      </c>
      <c r="X44" s="11">
        <v>301</v>
      </c>
      <c r="Y44" s="10">
        <v>43455</v>
      </c>
      <c r="Z44" s="11">
        <v>0</v>
      </c>
      <c r="AA44" s="12" t="s">
        <v>74</v>
      </c>
      <c r="AB44" s="11" t="s">
        <v>171</v>
      </c>
      <c r="AC44" s="12" t="s">
        <v>172</v>
      </c>
      <c r="AD44" s="11" t="s">
        <v>44</v>
      </c>
      <c r="AE44" s="12" t="s">
        <v>45</v>
      </c>
      <c r="AF44" s="14">
        <f t="shared" si="0"/>
        <v>0.1499239</v>
      </c>
      <c r="AG44" s="11" t="s">
        <v>46</v>
      </c>
    </row>
    <row r="45" spans="1:33" x14ac:dyDescent="0.2">
      <c r="A45" s="8">
        <v>7954</v>
      </c>
      <c r="B45" s="9" t="s">
        <v>181</v>
      </c>
      <c r="C45" s="10">
        <v>43455</v>
      </c>
      <c r="D45" s="11">
        <v>11</v>
      </c>
      <c r="E45" s="12" t="s">
        <v>34</v>
      </c>
      <c r="F45" s="12" t="s">
        <v>35</v>
      </c>
      <c r="G45" s="12" t="s">
        <v>36</v>
      </c>
      <c r="H45" s="12" t="s">
        <v>37</v>
      </c>
      <c r="I45" s="11" t="s">
        <v>188</v>
      </c>
      <c r="J45" s="12" t="s">
        <v>189</v>
      </c>
      <c r="K45" s="13" t="s">
        <v>49</v>
      </c>
      <c r="L45" s="11" t="str">
        <f>"000268"</f>
        <v>000268</v>
      </c>
      <c r="M45" s="10">
        <v>42825</v>
      </c>
      <c r="N45" s="11" t="str">
        <f>"000055"</f>
        <v>000055</v>
      </c>
      <c r="O45" s="10">
        <v>42885</v>
      </c>
      <c r="P45" s="11" t="str">
        <f>"000107"</f>
        <v>000107</v>
      </c>
      <c r="Q45" s="10">
        <v>42886</v>
      </c>
      <c r="R45" s="11">
        <v>17</v>
      </c>
      <c r="S45" s="11" t="str">
        <f>"007751"</f>
        <v>007751</v>
      </c>
      <c r="T45" s="10">
        <v>43441</v>
      </c>
      <c r="U45" s="14">
        <v>24.191929999999999</v>
      </c>
      <c r="V45" s="14">
        <v>1.7660100000000001</v>
      </c>
      <c r="W45" s="14">
        <v>22.425920000000001</v>
      </c>
      <c r="X45" s="11">
        <v>301</v>
      </c>
      <c r="Y45" s="10">
        <v>43455</v>
      </c>
      <c r="Z45" s="11">
        <v>9741383831</v>
      </c>
      <c r="AA45" s="12" t="s">
        <v>190</v>
      </c>
      <c r="AB45" s="11" t="s">
        <v>191</v>
      </c>
      <c r="AC45" s="12" t="s">
        <v>192</v>
      </c>
      <c r="AD45" s="11" t="s">
        <v>44</v>
      </c>
      <c r="AE45" s="12" t="s">
        <v>45</v>
      </c>
      <c r="AF45" s="14">
        <f t="shared" si="0"/>
        <v>0.2419193</v>
      </c>
      <c r="AG45" s="11" t="s">
        <v>46</v>
      </c>
    </row>
    <row r="46" spans="1:33" x14ac:dyDescent="0.2">
      <c r="A46" s="8">
        <v>7955</v>
      </c>
      <c r="B46" s="9" t="s">
        <v>181</v>
      </c>
      <c r="C46" s="10">
        <v>43455</v>
      </c>
      <c r="D46" s="11">
        <v>11</v>
      </c>
      <c r="E46" s="12" t="s">
        <v>34</v>
      </c>
      <c r="F46" s="12" t="s">
        <v>35</v>
      </c>
      <c r="G46" s="12" t="s">
        <v>36</v>
      </c>
      <c r="H46" s="12" t="s">
        <v>37</v>
      </c>
      <c r="I46" s="11" t="s">
        <v>193</v>
      </c>
      <c r="J46" s="12" t="s">
        <v>194</v>
      </c>
      <c r="K46" s="13" t="s">
        <v>49</v>
      </c>
      <c r="L46" s="11" t="str">
        <f>"000235"</f>
        <v>000235</v>
      </c>
      <c r="M46" s="10">
        <v>42810</v>
      </c>
      <c r="N46" s="11" t="str">
        <f>"000058"</f>
        <v>000058</v>
      </c>
      <c r="O46" s="10">
        <v>42885</v>
      </c>
      <c r="P46" s="11" t="str">
        <f>"000119"</f>
        <v>000119</v>
      </c>
      <c r="Q46" s="10">
        <v>42886</v>
      </c>
      <c r="R46" s="11">
        <v>17</v>
      </c>
      <c r="S46" s="11" t="str">
        <f>"007755"</f>
        <v>007755</v>
      </c>
      <c r="T46" s="10">
        <v>43441</v>
      </c>
      <c r="U46" s="14">
        <v>18.73743</v>
      </c>
      <c r="V46" s="14">
        <v>1.3490899999999999</v>
      </c>
      <c r="W46" s="14">
        <v>17.388339999999999</v>
      </c>
      <c r="X46" s="11">
        <v>301</v>
      </c>
      <c r="Y46" s="10">
        <v>43455</v>
      </c>
      <c r="Z46" s="11">
        <v>7760405418</v>
      </c>
      <c r="AA46" s="12" t="s">
        <v>195</v>
      </c>
      <c r="AB46" s="11" t="s">
        <v>42</v>
      </c>
      <c r="AC46" s="12" t="s">
        <v>43</v>
      </c>
      <c r="AD46" s="11" t="s">
        <v>44</v>
      </c>
      <c r="AE46" s="12" t="s">
        <v>45</v>
      </c>
      <c r="AF46" s="14">
        <f t="shared" si="0"/>
        <v>0.18737429999999999</v>
      </c>
      <c r="AG46" s="11" t="s">
        <v>46</v>
      </c>
    </row>
    <row r="47" spans="1:33" x14ac:dyDescent="0.2">
      <c r="A47" s="8">
        <v>8366</v>
      </c>
      <c r="B47" s="9" t="s">
        <v>196</v>
      </c>
      <c r="C47" s="10">
        <v>43467</v>
      </c>
      <c r="D47" s="11">
        <v>11</v>
      </c>
      <c r="E47" s="12" t="s">
        <v>34</v>
      </c>
      <c r="F47" s="12" t="s">
        <v>35</v>
      </c>
      <c r="G47" s="12" t="s">
        <v>36</v>
      </c>
      <c r="H47" s="12" t="s">
        <v>37</v>
      </c>
      <c r="I47" s="11" t="s">
        <v>197</v>
      </c>
      <c r="J47" s="12" t="s">
        <v>198</v>
      </c>
      <c r="K47" s="13" t="s">
        <v>199</v>
      </c>
      <c r="L47" s="11" t="str">
        <f>"000140"</f>
        <v>000140</v>
      </c>
      <c r="M47" s="10">
        <v>43371</v>
      </c>
      <c r="N47" s="11" t="str">
        <f>"000065"</f>
        <v>000065</v>
      </c>
      <c r="O47" s="10">
        <v>43389</v>
      </c>
      <c r="P47" s="11" t="str">
        <f>"000135"</f>
        <v>000135</v>
      </c>
      <c r="Q47" s="10">
        <v>43406</v>
      </c>
      <c r="R47" s="11"/>
      <c r="S47" s="11" t="str">
        <f>"008245"</f>
        <v>008245</v>
      </c>
      <c r="T47" s="10">
        <v>43460</v>
      </c>
      <c r="U47" s="14">
        <v>19.7013</v>
      </c>
      <c r="V47" s="14">
        <v>2.0520800000000001</v>
      </c>
      <c r="W47" s="14">
        <v>17.64922</v>
      </c>
      <c r="X47" s="11">
        <v>311</v>
      </c>
      <c r="Y47" s="10">
        <v>43467</v>
      </c>
      <c r="Z47" s="11">
        <v>9449863065</v>
      </c>
      <c r="AA47" s="12" t="s">
        <v>200</v>
      </c>
      <c r="AB47" s="11" t="s">
        <v>151</v>
      </c>
      <c r="AC47" s="12" t="s">
        <v>152</v>
      </c>
      <c r="AD47" s="11" t="s">
        <v>44</v>
      </c>
      <c r="AE47" s="12" t="s">
        <v>45</v>
      </c>
      <c r="AF47" s="14">
        <f t="shared" si="0"/>
        <v>0.19701299999999999</v>
      </c>
      <c r="AG47" s="11" t="s">
        <v>159</v>
      </c>
    </row>
    <row r="48" spans="1:33" x14ac:dyDescent="0.2">
      <c r="A48" s="8">
        <v>8367</v>
      </c>
      <c r="B48" s="9" t="s">
        <v>196</v>
      </c>
      <c r="C48" s="10">
        <v>43467</v>
      </c>
      <c r="D48" s="11">
        <v>11</v>
      </c>
      <c r="E48" s="12" t="s">
        <v>34</v>
      </c>
      <c r="F48" s="12" t="s">
        <v>35</v>
      </c>
      <c r="G48" s="12" t="s">
        <v>36</v>
      </c>
      <c r="H48" s="12" t="s">
        <v>37</v>
      </c>
      <c r="I48" s="11" t="s">
        <v>201</v>
      </c>
      <c r="J48" s="12" t="s">
        <v>202</v>
      </c>
      <c r="K48" s="13" t="s">
        <v>203</v>
      </c>
      <c r="L48" s="11" t="str">
        <f>"000141"</f>
        <v>000141</v>
      </c>
      <c r="M48" s="10">
        <v>43371</v>
      </c>
      <c r="N48" s="11" t="str">
        <f>"000066"</f>
        <v>000066</v>
      </c>
      <c r="O48" s="10">
        <v>43389</v>
      </c>
      <c r="P48" s="11" t="str">
        <f>"000136"</f>
        <v>000136</v>
      </c>
      <c r="Q48" s="10">
        <v>43406</v>
      </c>
      <c r="R48" s="11"/>
      <c r="S48" s="11" t="str">
        <f>"008246"</f>
        <v>008246</v>
      </c>
      <c r="T48" s="10">
        <v>43460</v>
      </c>
      <c r="U48" s="14">
        <v>13.952159999999999</v>
      </c>
      <c r="V48" s="14">
        <v>1.47892</v>
      </c>
      <c r="W48" s="14">
        <v>12.473240000000001</v>
      </c>
      <c r="X48" s="11">
        <v>311</v>
      </c>
      <c r="Y48" s="10">
        <v>43467</v>
      </c>
      <c r="Z48" s="11">
        <v>9449863065</v>
      </c>
      <c r="AA48" s="12" t="s">
        <v>200</v>
      </c>
      <c r="AB48" s="11" t="s">
        <v>151</v>
      </c>
      <c r="AC48" s="12" t="s">
        <v>152</v>
      </c>
      <c r="AD48" s="11" t="s">
        <v>44</v>
      </c>
      <c r="AE48" s="12" t="s">
        <v>45</v>
      </c>
      <c r="AF48" s="14">
        <f t="shared" si="0"/>
        <v>0.1395216</v>
      </c>
      <c r="AG48" s="11" t="s">
        <v>159</v>
      </c>
    </row>
    <row r="49" spans="1:33" x14ac:dyDescent="0.2">
      <c r="A49" s="8">
        <v>8428</v>
      </c>
      <c r="B49" s="9" t="s">
        <v>196</v>
      </c>
      <c r="C49" s="10">
        <v>43472</v>
      </c>
      <c r="D49" s="11">
        <v>11</v>
      </c>
      <c r="E49" s="12" t="s">
        <v>34</v>
      </c>
      <c r="F49" s="12" t="s">
        <v>35</v>
      </c>
      <c r="G49" s="12" t="s">
        <v>36</v>
      </c>
      <c r="H49" s="12" t="s">
        <v>37</v>
      </c>
      <c r="I49" s="11" t="s">
        <v>204</v>
      </c>
      <c r="J49" s="12" t="s">
        <v>205</v>
      </c>
      <c r="K49" s="13" t="s">
        <v>77</v>
      </c>
      <c r="L49" s="11" t="str">
        <f>"000031"</f>
        <v>000031</v>
      </c>
      <c r="M49" s="10">
        <v>43360</v>
      </c>
      <c r="N49" s="11" t="str">
        <f>"000062"</f>
        <v>000062</v>
      </c>
      <c r="O49" s="10">
        <v>43413</v>
      </c>
      <c r="P49" s="11" t="str">
        <f>"000098"</f>
        <v>000098</v>
      </c>
      <c r="Q49" s="10">
        <v>43413</v>
      </c>
      <c r="R49" s="11"/>
      <c r="S49" s="11" t="str">
        <f>"008554"</f>
        <v>008554</v>
      </c>
      <c r="T49" s="10">
        <v>43469</v>
      </c>
      <c r="U49" s="14">
        <v>9.99437</v>
      </c>
      <c r="V49" s="14">
        <v>1.25928</v>
      </c>
      <c r="W49" s="14">
        <v>8.7350899999999996</v>
      </c>
      <c r="X49" s="11">
        <v>316</v>
      </c>
      <c r="Y49" s="10">
        <v>43472</v>
      </c>
      <c r="Z49" s="11">
        <v>9449863065</v>
      </c>
      <c r="AA49" s="12" t="s">
        <v>206</v>
      </c>
      <c r="AB49" s="11" t="s">
        <v>207</v>
      </c>
      <c r="AC49" s="12" t="s">
        <v>208</v>
      </c>
      <c r="AD49" s="11" t="s">
        <v>79</v>
      </c>
      <c r="AE49" s="12" t="s">
        <v>80</v>
      </c>
      <c r="AF49" s="14">
        <f t="shared" si="0"/>
        <v>9.9943699999999996E-2</v>
      </c>
      <c r="AG49" s="11" t="s">
        <v>159</v>
      </c>
    </row>
    <row r="50" spans="1:33" x14ac:dyDescent="0.2">
      <c r="A50" s="8">
        <v>8970</v>
      </c>
      <c r="B50" s="9" t="s">
        <v>209</v>
      </c>
      <c r="C50" s="10">
        <v>43501</v>
      </c>
      <c r="D50" s="11">
        <v>11</v>
      </c>
      <c r="E50" s="12" t="s">
        <v>34</v>
      </c>
      <c r="F50" s="12" t="s">
        <v>35</v>
      </c>
      <c r="G50" s="12" t="s">
        <v>36</v>
      </c>
      <c r="H50" s="12" t="s">
        <v>37</v>
      </c>
      <c r="I50" s="11" t="s">
        <v>210</v>
      </c>
      <c r="J50" s="12" t="s">
        <v>211</v>
      </c>
      <c r="K50" s="13" t="s">
        <v>170</v>
      </c>
      <c r="L50" s="11" t="str">
        <f>"000092"</f>
        <v>000092</v>
      </c>
      <c r="M50" s="10">
        <v>43343</v>
      </c>
      <c r="N50" s="11" t="str">
        <f>"000085"</f>
        <v>000085</v>
      </c>
      <c r="O50" s="10">
        <v>43465</v>
      </c>
      <c r="P50" s="11" t="str">
        <f>"000183"</f>
        <v>000183</v>
      </c>
      <c r="Q50" s="10">
        <v>43465</v>
      </c>
      <c r="R50" s="11"/>
      <c r="S50" s="11" t="str">
        <f>"009054"</f>
        <v>009054</v>
      </c>
      <c r="T50" s="10">
        <v>43501</v>
      </c>
      <c r="U50" s="14">
        <v>4.9890699999999999</v>
      </c>
      <c r="V50" s="14">
        <v>0.51566999999999996</v>
      </c>
      <c r="W50" s="14">
        <v>4.4733999999999998</v>
      </c>
      <c r="X50" s="11">
        <v>339</v>
      </c>
      <c r="Y50" s="10">
        <v>43501</v>
      </c>
      <c r="Z50" s="11">
        <v>9900333496</v>
      </c>
      <c r="AA50" s="12" t="s">
        <v>212</v>
      </c>
      <c r="AB50" s="11" t="s">
        <v>213</v>
      </c>
      <c r="AC50" s="12" t="s">
        <v>214</v>
      </c>
      <c r="AD50" s="11" t="s">
        <v>44</v>
      </c>
      <c r="AE50" s="12" t="s">
        <v>45</v>
      </c>
      <c r="AF50" s="14">
        <f t="shared" si="0"/>
        <v>4.9890699999999996E-2</v>
      </c>
      <c r="AG50" s="11" t="s">
        <v>159</v>
      </c>
    </row>
    <row r="51" spans="1:33" x14ac:dyDescent="0.2">
      <c r="A51" s="8">
        <v>8971</v>
      </c>
      <c r="B51" s="9" t="s">
        <v>209</v>
      </c>
      <c r="C51" s="10">
        <v>43501</v>
      </c>
      <c r="D51" s="11">
        <v>11</v>
      </c>
      <c r="E51" s="12" t="s">
        <v>34</v>
      </c>
      <c r="F51" s="12" t="s">
        <v>35</v>
      </c>
      <c r="G51" s="12" t="s">
        <v>36</v>
      </c>
      <c r="H51" s="12" t="s">
        <v>37</v>
      </c>
      <c r="I51" s="11" t="s">
        <v>215</v>
      </c>
      <c r="J51" s="12" t="s">
        <v>216</v>
      </c>
      <c r="K51" s="13" t="s">
        <v>105</v>
      </c>
      <c r="L51" s="11" t="str">
        <f>"000091"</f>
        <v>000091</v>
      </c>
      <c r="M51" s="10">
        <v>43343</v>
      </c>
      <c r="N51" s="11" t="str">
        <f>"000084"</f>
        <v>000084</v>
      </c>
      <c r="O51" s="10">
        <v>43465</v>
      </c>
      <c r="P51" s="11" t="str">
        <f>"000182"</f>
        <v>000182</v>
      </c>
      <c r="Q51" s="10">
        <v>43465</v>
      </c>
      <c r="R51" s="11"/>
      <c r="S51" s="11" t="str">
        <f>"009055"</f>
        <v>009055</v>
      </c>
      <c r="T51" s="10">
        <v>43501</v>
      </c>
      <c r="U51" s="14">
        <v>4.9872300000000003</v>
      </c>
      <c r="V51" s="14">
        <v>0.51348000000000005</v>
      </c>
      <c r="W51" s="14">
        <v>4.4737499999999999</v>
      </c>
      <c r="X51" s="11">
        <v>339</v>
      </c>
      <c r="Y51" s="10">
        <v>43501</v>
      </c>
      <c r="Z51" s="11">
        <v>9900333496</v>
      </c>
      <c r="AA51" s="12" t="s">
        <v>217</v>
      </c>
      <c r="AB51" s="11" t="s">
        <v>218</v>
      </c>
      <c r="AC51" s="12" t="s">
        <v>219</v>
      </c>
      <c r="AD51" s="11" t="s">
        <v>44</v>
      </c>
      <c r="AE51" s="12" t="s">
        <v>45</v>
      </c>
      <c r="AF51" s="14">
        <f t="shared" si="0"/>
        <v>4.9872300000000001E-2</v>
      </c>
      <c r="AG51" s="11" t="s">
        <v>159</v>
      </c>
    </row>
    <row r="52" spans="1:33" x14ac:dyDescent="0.2">
      <c r="A52" s="8">
        <v>8972</v>
      </c>
      <c r="B52" s="9" t="s">
        <v>209</v>
      </c>
      <c r="C52" s="10">
        <v>43501</v>
      </c>
      <c r="D52" s="11">
        <v>11</v>
      </c>
      <c r="E52" s="12" t="s">
        <v>34</v>
      </c>
      <c r="F52" s="12" t="s">
        <v>35</v>
      </c>
      <c r="G52" s="12" t="s">
        <v>36</v>
      </c>
      <c r="H52" s="12" t="s">
        <v>37</v>
      </c>
      <c r="I52" s="11" t="s">
        <v>220</v>
      </c>
      <c r="J52" s="12" t="s">
        <v>221</v>
      </c>
      <c r="K52" s="13" t="s">
        <v>96</v>
      </c>
      <c r="L52" s="11" t="str">
        <f>"000096"</f>
        <v>000096</v>
      </c>
      <c r="M52" s="10">
        <v>43343</v>
      </c>
      <c r="N52" s="11" t="str">
        <f>"000083"</f>
        <v>000083</v>
      </c>
      <c r="O52" s="10">
        <v>43465</v>
      </c>
      <c r="P52" s="11" t="str">
        <f>"000181"</f>
        <v>000181</v>
      </c>
      <c r="Q52" s="10">
        <v>43465</v>
      </c>
      <c r="R52" s="11"/>
      <c r="S52" s="11" t="str">
        <f>"009056"</f>
        <v>009056</v>
      </c>
      <c r="T52" s="10">
        <v>43501</v>
      </c>
      <c r="U52" s="14">
        <v>14.997450000000001</v>
      </c>
      <c r="V52" s="14">
        <v>1.4888600000000001</v>
      </c>
      <c r="W52" s="14">
        <v>13.50859</v>
      </c>
      <c r="X52" s="11">
        <v>339</v>
      </c>
      <c r="Y52" s="10">
        <v>43501</v>
      </c>
      <c r="Z52" s="11">
        <v>9900333496</v>
      </c>
      <c r="AA52" s="12" t="s">
        <v>217</v>
      </c>
      <c r="AB52" s="11" t="s">
        <v>222</v>
      </c>
      <c r="AC52" s="12" t="s">
        <v>223</v>
      </c>
      <c r="AD52" s="11" t="s">
        <v>44</v>
      </c>
      <c r="AE52" s="12" t="s">
        <v>45</v>
      </c>
      <c r="AF52" s="14">
        <f t="shared" si="0"/>
        <v>0.14997450000000001</v>
      </c>
      <c r="AG52" s="11" t="s">
        <v>159</v>
      </c>
    </row>
    <row r="53" spans="1:33" x14ac:dyDescent="0.2">
      <c r="A53" s="8">
        <v>9116</v>
      </c>
      <c r="B53" s="9" t="s">
        <v>209</v>
      </c>
      <c r="C53" s="10">
        <v>43508</v>
      </c>
      <c r="D53" s="11">
        <v>11</v>
      </c>
      <c r="E53" s="12" t="s">
        <v>34</v>
      </c>
      <c r="F53" s="12" t="s">
        <v>35</v>
      </c>
      <c r="G53" s="12" t="s">
        <v>36</v>
      </c>
      <c r="H53" s="12" t="s">
        <v>37</v>
      </c>
      <c r="I53" s="11" t="s">
        <v>224</v>
      </c>
      <c r="J53" s="12" t="s">
        <v>225</v>
      </c>
      <c r="K53" s="13" t="s">
        <v>77</v>
      </c>
      <c r="L53" s="11" t="str">
        <f>"000050"</f>
        <v>000050</v>
      </c>
      <c r="M53" s="10">
        <v>42859</v>
      </c>
      <c r="N53" s="11" t="str">
        <f>"000065"</f>
        <v>000065</v>
      </c>
      <c r="O53" s="10">
        <v>42913</v>
      </c>
      <c r="P53" s="11" t="str">
        <f>"000144"</f>
        <v>000144</v>
      </c>
      <c r="Q53" s="10">
        <v>42913</v>
      </c>
      <c r="R53" s="11"/>
      <c r="S53" s="11" t="str">
        <f>"009142"</f>
        <v>009142</v>
      </c>
      <c r="T53" s="10">
        <v>43503</v>
      </c>
      <c r="U53" s="14">
        <v>25.425740000000001</v>
      </c>
      <c r="V53" s="14">
        <v>1.83066</v>
      </c>
      <c r="W53" s="14">
        <v>23.595079999999999</v>
      </c>
      <c r="X53" s="11">
        <v>349</v>
      </c>
      <c r="Y53" s="10">
        <v>43508</v>
      </c>
      <c r="Z53" s="11">
        <v>9448034435</v>
      </c>
      <c r="AA53" s="12" t="s">
        <v>226</v>
      </c>
      <c r="AB53" s="11" t="s">
        <v>227</v>
      </c>
      <c r="AC53" s="12" t="s">
        <v>228</v>
      </c>
      <c r="AD53" s="11" t="s">
        <v>44</v>
      </c>
      <c r="AE53" s="12" t="s">
        <v>45</v>
      </c>
      <c r="AF53" s="14">
        <f t="shared" si="0"/>
        <v>0.25425740000000002</v>
      </c>
      <c r="AG53" s="11" t="s">
        <v>46</v>
      </c>
    </row>
    <row r="54" spans="1:33" x14ac:dyDescent="0.2">
      <c r="A54" s="8">
        <v>9529</v>
      </c>
      <c r="B54" s="9" t="s">
        <v>229</v>
      </c>
      <c r="C54" s="10">
        <v>43531</v>
      </c>
      <c r="D54" s="11">
        <v>11</v>
      </c>
      <c r="E54" s="12" t="s">
        <v>34</v>
      </c>
      <c r="F54" s="12" t="s">
        <v>35</v>
      </c>
      <c r="G54" s="12" t="s">
        <v>36</v>
      </c>
      <c r="H54" s="12" t="s">
        <v>37</v>
      </c>
      <c r="I54" s="11" t="s">
        <v>230</v>
      </c>
      <c r="J54" s="12" t="s">
        <v>231</v>
      </c>
      <c r="K54" s="13" t="s">
        <v>105</v>
      </c>
      <c r="L54" s="11" t="str">
        <f>"000008"</f>
        <v>000008</v>
      </c>
      <c r="M54" s="10">
        <v>42511</v>
      </c>
      <c r="N54" s="11" t="str">
        <f>"000056"</f>
        <v>000056</v>
      </c>
      <c r="O54" s="10">
        <v>42916</v>
      </c>
      <c r="P54" s="11" t="str">
        <f>"000056"</f>
        <v>000056</v>
      </c>
      <c r="Q54" s="10">
        <v>42916</v>
      </c>
      <c r="R54" s="11"/>
      <c r="S54" s="11" t="str">
        <f>"009544"</f>
        <v>009544</v>
      </c>
      <c r="T54" s="10">
        <v>43526</v>
      </c>
      <c r="U54" s="14">
        <v>0.82410000000000005</v>
      </c>
      <c r="V54" s="14">
        <v>9.1469999999999996E-2</v>
      </c>
      <c r="W54" s="14">
        <v>0.73263</v>
      </c>
      <c r="X54" s="11">
        <v>370</v>
      </c>
      <c r="Y54" s="10">
        <v>43531</v>
      </c>
      <c r="Z54" s="11">
        <v>9448024910</v>
      </c>
      <c r="AA54" s="12" t="s">
        <v>232</v>
      </c>
      <c r="AB54" s="11" t="s">
        <v>118</v>
      </c>
      <c r="AC54" s="12" t="s">
        <v>119</v>
      </c>
      <c r="AD54" s="11" t="s">
        <v>79</v>
      </c>
      <c r="AE54" s="12" t="s">
        <v>80</v>
      </c>
      <c r="AF54" s="14">
        <f t="shared" si="0"/>
        <v>8.2410000000000001E-3</v>
      </c>
      <c r="AG54" s="11" t="s">
        <v>46</v>
      </c>
    </row>
    <row r="55" spans="1:33" x14ac:dyDescent="0.2">
      <c r="A55" s="8">
        <v>9531</v>
      </c>
      <c r="B55" s="9" t="s">
        <v>229</v>
      </c>
      <c r="C55" s="10">
        <v>43531</v>
      </c>
      <c r="D55" s="11">
        <v>11</v>
      </c>
      <c r="E55" s="12" t="s">
        <v>34</v>
      </c>
      <c r="F55" s="12" t="s">
        <v>35</v>
      </c>
      <c r="G55" s="12" t="s">
        <v>36</v>
      </c>
      <c r="H55" s="12" t="s">
        <v>37</v>
      </c>
      <c r="I55" s="11" t="s">
        <v>233</v>
      </c>
      <c r="J55" s="12" t="s">
        <v>234</v>
      </c>
      <c r="K55" s="13" t="s">
        <v>40</v>
      </c>
      <c r="L55" s="11" t="str">
        <f>"000010"</f>
        <v>000010</v>
      </c>
      <c r="M55" s="10">
        <v>42511</v>
      </c>
      <c r="N55" s="11" t="str">
        <f>"000057"</f>
        <v>000057</v>
      </c>
      <c r="O55" s="10">
        <v>42916</v>
      </c>
      <c r="P55" s="11" t="str">
        <f>"000057"</f>
        <v>000057</v>
      </c>
      <c r="Q55" s="10">
        <v>42916</v>
      </c>
      <c r="R55" s="11"/>
      <c r="S55" s="11" t="str">
        <f>"009546"</f>
        <v>009546</v>
      </c>
      <c r="T55" s="10">
        <v>43526</v>
      </c>
      <c r="U55" s="14">
        <v>0.67800000000000005</v>
      </c>
      <c r="V55" s="14">
        <v>7.5259999999999994E-2</v>
      </c>
      <c r="W55" s="14">
        <v>0.60274000000000005</v>
      </c>
      <c r="X55" s="11">
        <v>370</v>
      </c>
      <c r="Y55" s="10">
        <v>43531</v>
      </c>
      <c r="Z55" s="11">
        <v>9448024910</v>
      </c>
      <c r="AA55" s="12" t="s">
        <v>235</v>
      </c>
      <c r="AB55" s="11" t="s">
        <v>118</v>
      </c>
      <c r="AC55" s="12" t="s">
        <v>119</v>
      </c>
      <c r="AD55" s="11" t="s">
        <v>79</v>
      </c>
      <c r="AE55" s="12" t="s">
        <v>80</v>
      </c>
      <c r="AF55" s="14">
        <f t="shared" si="0"/>
        <v>6.7800000000000004E-3</v>
      </c>
      <c r="AG55" s="11" t="s">
        <v>46</v>
      </c>
    </row>
    <row r="56" spans="1:33" x14ac:dyDescent="0.2">
      <c r="A56" s="8">
        <v>9947</v>
      </c>
      <c r="B56" s="9" t="s">
        <v>229</v>
      </c>
      <c r="C56" s="10">
        <v>43552</v>
      </c>
      <c r="D56" s="11">
        <v>11</v>
      </c>
      <c r="E56" s="12" t="s">
        <v>34</v>
      </c>
      <c r="F56" s="12" t="s">
        <v>35</v>
      </c>
      <c r="G56" s="12" t="s">
        <v>36</v>
      </c>
      <c r="H56" s="12" t="s">
        <v>37</v>
      </c>
      <c r="I56" s="11" t="s">
        <v>236</v>
      </c>
      <c r="J56" s="12" t="s">
        <v>237</v>
      </c>
      <c r="K56" s="13" t="s">
        <v>49</v>
      </c>
      <c r="L56" s="11" t="str">
        <f>"000252"</f>
        <v>000252</v>
      </c>
      <c r="M56" s="10">
        <v>42824</v>
      </c>
      <c r="N56" s="11" t="str">
        <f>"000075"</f>
        <v>000075</v>
      </c>
      <c r="O56" s="10">
        <v>42913</v>
      </c>
      <c r="P56" s="11" t="str">
        <f>"000171"</f>
        <v>000171</v>
      </c>
      <c r="Q56" s="10">
        <v>42916</v>
      </c>
      <c r="R56" s="11"/>
      <c r="S56" s="11" t="str">
        <f>"009953"</f>
        <v>009953</v>
      </c>
      <c r="T56" s="10">
        <v>43549</v>
      </c>
      <c r="U56" s="14">
        <v>17.87895</v>
      </c>
      <c r="V56" s="14">
        <v>1.3230500000000001</v>
      </c>
      <c r="W56" s="14">
        <v>16.555900000000001</v>
      </c>
      <c r="X56" s="11">
        <v>388</v>
      </c>
      <c r="Y56" s="10">
        <v>43552</v>
      </c>
      <c r="Z56" s="11">
        <v>9448956136</v>
      </c>
      <c r="AA56" s="12" t="s">
        <v>238</v>
      </c>
      <c r="AB56" s="11" t="s">
        <v>42</v>
      </c>
      <c r="AC56" s="12" t="s">
        <v>43</v>
      </c>
      <c r="AD56" s="11" t="s">
        <v>44</v>
      </c>
      <c r="AE56" s="12" t="s">
        <v>45</v>
      </c>
      <c r="AF56" s="14">
        <f t="shared" si="0"/>
        <v>0.17878949999999999</v>
      </c>
      <c r="AG56" s="11" t="s">
        <v>46</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2019-06-12T10:58:11Z</dcterms:modified>
</cp:coreProperties>
</file>