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3" i="1" l="1"/>
  <c r="S73" i="1"/>
  <c r="P73" i="1"/>
  <c r="N73" i="1"/>
  <c r="L73" i="1"/>
  <c r="AF72" i="1"/>
  <c r="S72" i="1"/>
  <c r="P72" i="1"/>
  <c r="N72" i="1"/>
  <c r="L72" i="1"/>
  <c r="AF71" i="1"/>
  <c r="S71" i="1"/>
  <c r="P71" i="1"/>
  <c r="N71" i="1"/>
  <c r="L71" i="1"/>
  <c r="AF70" i="1"/>
  <c r="S70" i="1"/>
  <c r="P70" i="1"/>
  <c r="N70" i="1"/>
  <c r="L70" i="1"/>
  <c r="AF69" i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S51" i="1"/>
  <c r="P51" i="1"/>
  <c r="N51" i="1"/>
  <c r="L51" i="1"/>
  <c r="S50" i="1"/>
  <c r="P50" i="1"/>
  <c r="N50" i="1"/>
  <c r="L50" i="1"/>
  <c r="S49" i="1"/>
  <c r="P49" i="1"/>
  <c r="N49" i="1"/>
  <c r="L49" i="1"/>
  <c r="S48" i="1"/>
  <c r="P48" i="1"/>
  <c r="N48" i="1"/>
  <c r="L48" i="1"/>
  <c r="S47" i="1"/>
  <c r="P47" i="1"/>
  <c r="N47" i="1"/>
  <c r="L47" i="1"/>
  <c r="S46" i="1"/>
  <c r="P46" i="1"/>
  <c r="N46" i="1"/>
  <c r="L46" i="1"/>
  <c r="S45" i="1"/>
  <c r="P45" i="1"/>
  <c r="N45" i="1"/>
  <c r="L45" i="1"/>
  <c r="S44" i="1"/>
  <c r="P44" i="1"/>
  <c r="N44" i="1"/>
  <c r="L44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<sst xmlns="http://schemas.openxmlformats.org/spreadsheetml/2006/main" count="1041" uniqueCount="240">
  <si>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</si>
  <si>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</si>
  <si>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</si>
  <si>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</si>
  <si>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</si>
  <si>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</si>
  <si>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</si>
  <si>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</si>
  <si>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</si>
  <si>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</si>
  <si>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</si>
  <si>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</si>
  <si>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</si>
  <si>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</si>
  <si>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</si>
  <si>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</si>
  <si>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</si>
  <si>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</si>
  <si>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</si>
  <si>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</si>
  <si>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</si>
  <si>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</si>
  <si>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</si>
  <si>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</si>
  <si>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</si>
  <si>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</si>
  <si>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</si>
  <si>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</si>
  <si>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</si>
  <si>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</si>
  <si>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</si>
  <si>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</si>
  <si>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</si>
  <si>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</si>
  <si>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Dommaluru</t>
  </si>
  <si>
    <t>Shanthi Nagara</t>
  </si>
  <si>
    <t>East</t>
  </si>
  <si>
    <t>112-17-000035</t>
  </si>
  <si>
    <t>Package-III Comprehensive of development of roads and drains in ward no 112in Shanthinagara Constituency (11 Works)</t>
  </si>
  <si>
    <t>Roads &amp; Drivablility</t>
  </si>
  <si>
    <t>R LOKESH</t>
  </si>
  <si>
    <t>P3158</t>
  </si>
  <si>
    <t>SIP Infrastructure Project works</t>
  </si>
  <si>
    <t>ddo086</t>
  </si>
  <si>
    <t xml:space="preserve"> Assistant Executive Engineer Dommalur East Zone</t>
  </si>
  <si>
    <t>Pending</t>
  </si>
  <si>
    <t>M/s Civil Experts Consultants and Testing Centre</t>
  </si>
  <si>
    <t>112-17-000036</t>
  </si>
  <si>
    <t>Asphalting and concreting of roads and improvements to RCC drains in ward no 112</t>
  </si>
  <si>
    <t>C G Chandrappa</t>
  </si>
  <si>
    <t>112-17-000020</t>
  </si>
  <si>
    <t>Development of Secondary drains/ Territary drains at Ward No 112 Domlur</t>
  </si>
  <si>
    <t>Footpaths &amp; Walkability</t>
  </si>
  <si>
    <t xml:space="preserve">TECHNICAL MANAGER KRIDL </t>
  </si>
  <si>
    <t>P3110</t>
  </si>
  <si>
    <t>14th Finance Commission Grant Works</t>
  </si>
  <si>
    <t>112-17-000021</t>
  </si>
  <si>
    <t>Development of Roads and Drains in Ward No 112 Domlur</t>
  </si>
  <si>
    <t>TECHNICAL MANAGER</t>
  </si>
  <si>
    <t>May</t>
  </si>
  <si>
    <t>112-16-000019</t>
  </si>
  <si>
    <t>PROVIDING ASPHALTING AND CONSTRUCTION OF COVERED MASONRY DRAIN AT 4TH MAIN BDA LAYOUT IN WARD NI 112</t>
  </si>
  <si>
    <t>Amruth Construction Pvt ltd Pichakal  Venkateshwara Rao</t>
  </si>
  <si>
    <t>P3106</t>
  </si>
  <si>
    <t>Nagarothana Works</t>
  </si>
  <si>
    <t>112-16-000021</t>
  </si>
  <si>
    <t>ASPHALTING TO 1ST A CROSS 1ST B CROSS AND PARK ROAD IN CAMBRIDGE LAYOUT NEAR BDA FLATS IN WARD NO 112</t>
  </si>
  <si>
    <t xml:space="preserve">Amruth Construction Pvt ltd </t>
  </si>
  <si>
    <t>112-16-000036</t>
  </si>
  <si>
    <t>ASPHALTING TO 13TH G MAIN 3RD 4TH AND 5TH CROSS ROAD IN HAL 2ND STAGE IN WARD NO 112</t>
  </si>
  <si>
    <t>112-16-000022</t>
  </si>
  <si>
    <t>PROVIDING ASPHALTING TO 3RD CROSS 4TH CROSS AND SURYANARAYANA TEMPLE ROAD IN SHARADAMMA LAYOUT IN WARD NO 112</t>
  </si>
  <si>
    <t xml:space="preserve">Amruth Construction Pvt ltd Pichakal  Venkateshwara Rao </t>
  </si>
  <si>
    <t>112-16-000034</t>
  </si>
  <si>
    <t>ASPHALTNG TO 13TH B MAIN 9TH 10TH AND 11TH CROSS ROAD IN HAL 2ND STAGE IN WARD NO 112</t>
  </si>
  <si>
    <t>Other Ward Works</t>
  </si>
  <si>
    <t>112-16-000035</t>
  </si>
  <si>
    <t>ASPHALTING TO 13TH D MAIN 6TH 7TH AND 8TH CROSS ROAD HAL 2ND STAGE IN WARD NO 112</t>
  </si>
  <si>
    <t>112-16-000051</t>
  </si>
  <si>
    <t>ASPHALTING TO ROADS FROM 3RD A CROSS TO MILITARY COMPOUND IN DOMLUR 2ND STAGE IN WARDNO 112</t>
  </si>
  <si>
    <t>112-16-000052</t>
  </si>
  <si>
    <t>ASPHALTING TO ROADS AND CROSS ROADS INFRONT OF DOMLUR CLUB IN WARD NO 112</t>
  </si>
  <si>
    <t xml:space="preserve">Amruth Construction Pvt ltd  Pichakal  Venkateshwara Rao </t>
  </si>
  <si>
    <t>112-16-000015</t>
  </si>
  <si>
    <t>CONSTRUCTION OF RCC DRAIN TO 4TH MAIN AND 5TH MAIN AK COLONY IN WARD NO 112</t>
  </si>
  <si>
    <t>112-16-000038</t>
  </si>
  <si>
    <t>CONSTRUCTION OF COVERED MASONRY DRAIN TO SERVICE ROAD IN HAL 2ND STAGE IN WARD NO 112</t>
  </si>
  <si>
    <t>112-16-000017</t>
  </si>
  <si>
    <t>ROAD CONCRETING TO 4TH 5TH 6TH AND 7TH MAIN ROAD AND 1ST AND 6TH CROSS IN AK COLONY IN WARD NO 112</t>
  </si>
  <si>
    <t>112-16-000044</t>
  </si>
  <si>
    <t>CONSTRUCTION OF COVERED DRAIN TO 5TH 6TH AND 7TH CROSS ROADS IN HAL 2ND STAGE IN WARD NO 112</t>
  </si>
  <si>
    <t>112-16-000053</t>
  </si>
  <si>
    <t>ASPHALTING TO ROADS IN DOMLUR 2ND STAGE FROM 1ST A CROSS TO 2ND CROSS INCLUDING MAIN ROADS IN WARD NO 112</t>
  </si>
  <si>
    <t>112-16-000020</t>
  </si>
  <si>
    <t>ASPHALTING TO YELLAMMA TEMPLE ROAD AND CROSS ROADS AT DHOOPANAHALLI VILLAGE IN WARD NO 112</t>
  </si>
  <si>
    <t>Amruth Construction Pvt ltd</t>
  </si>
  <si>
    <t>Spill Over</t>
  </si>
  <si>
    <t>112-16-000016</t>
  </si>
  <si>
    <t>CONSTRUCTION OF RCC DRAIN TO 6TH MAIN AND 7TH MAIN AK COLONY IN WARD NO 112</t>
  </si>
  <si>
    <t>112-16-000039</t>
  </si>
  <si>
    <t>ASPHALTING TO SERVICE ROAD IN HAL 2ND STAGE NEAR MUNESHWARA TEMPLE IN WARDE NO 112</t>
  </si>
  <si>
    <t>112-16-000031</t>
  </si>
  <si>
    <t>CONSTRUCTION OF RCC DRAIN AND ASPHALTING TO 8TH MAIN AT AMARJYOTHI LAYOUT IN WARD NO 112</t>
  </si>
  <si>
    <t>June</t>
  </si>
  <si>
    <t>112-16-000063</t>
  </si>
  <si>
    <t>Repairs to chain link fencing and providing of pathway and other development works in tea pudi park in back side SWD in ward no 112 Domlur</t>
  </si>
  <si>
    <t>Trees, Parks &amp; Playgrounds</t>
  </si>
  <si>
    <t>Technical Manager-II, KRIDL</t>
  </si>
  <si>
    <t>P0190</t>
  </si>
  <si>
    <t>Works sanctioned by Hon Mayor</t>
  </si>
  <si>
    <t>ddo075</t>
  </si>
  <si>
    <t xml:space="preserve"> Executive Engineer Project East Zone</t>
  </si>
  <si>
    <t>112-16-000062</t>
  </si>
  <si>
    <t>Repairs to compound wall and other development works in burial ground in ward no 112 Domlur</t>
  </si>
  <si>
    <t>112-16-000055</t>
  </si>
  <si>
    <t>Repairs to chain link fencing, and other development works near Domlur services road park in ward no 112</t>
  </si>
  <si>
    <t>112-16-000060</t>
  </si>
  <si>
    <t>Repairs to pathway and children equipments other development works in Doopanahalli park in ward no 112</t>
  </si>
  <si>
    <t>112-16-000054</t>
  </si>
  <si>
    <t>Repairs to chain link fencing, and pathway and other development works in Dr. B R Ambedkar Park in ward no 112</t>
  </si>
  <si>
    <t>112-16-000058</t>
  </si>
  <si>
    <t>Repairs to Chain link fencing, Ornamental grill and pathway other development works in Srinivasreddy park in ward no 112</t>
  </si>
  <si>
    <t>112-16-000061</t>
  </si>
  <si>
    <t>Repairs to Ornamental grill and providing chain link fencing other development works in Shankarnag memorial park in ward no 112 Domlur</t>
  </si>
  <si>
    <t>112-16-000057</t>
  </si>
  <si>
    <t>Repairs to watchmen shed and other development works in park near ESI hospital in ward no 112</t>
  </si>
  <si>
    <t>112-16-000005</t>
  </si>
  <si>
    <t>CONCRETING OF ROAD FROM DOOPANAHALLI ARCH TO YELLAMMA TEMPLE CROSS IN WARD NO 112 DOMLUR</t>
  </si>
  <si>
    <t>PRASHANTH KUMAR A</t>
  </si>
  <si>
    <t>P1771</t>
  </si>
  <si>
    <t>Zone Works - POW Works</t>
  </si>
  <si>
    <t>112-14-000001</t>
  </si>
  <si>
    <t>CONSTRUCTION OF COMPOUND WALL AND IMPROVEMENT WORK TO DOMLUR BURIAL GROUND IN WARD NO 112 DOMLUR</t>
  </si>
  <si>
    <t>KRISHNAPPA T</t>
  </si>
  <si>
    <t>112-17-000006</t>
  </si>
  <si>
    <t>REPAIRS TO WARD OFFICE BUILDING IN WARD NO 112 DOMLUR</t>
  </si>
  <si>
    <t>M S Engineering Constructions Prop S R Sreedharkumar</t>
  </si>
  <si>
    <t>112-17-000007</t>
  </si>
  <si>
    <t>REPAIRS TO LIBRARY BUILDING IN WARD NO 112 DOMLUR</t>
  </si>
  <si>
    <t>July</t>
  </si>
  <si>
    <t>112-16-000006</t>
  </si>
  <si>
    <t>CONCRETING OF ROAD BEHIND MUTHYALAMMA TEMPLE AND CROSS ROADS AND C D WORK IN WARD NO 112 DOMLUR</t>
  </si>
  <si>
    <t>K R Rangaswamy</t>
  </si>
  <si>
    <t>112-17-000008</t>
  </si>
  <si>
    <t>REPAIRS TO SUB DIVISION OFFICE BUILDING WARD NO 112 DOMLUR</t>
  </si>
  <si>
    <t>112-16-000059</t>
  </si>
  <si>
    <t>Repairs to chain link fencing, and other development works in BDA ground in ward no 112</t>
  </si>
  <si>
    <t>112-16-000012</t>
  </si>
  <si>
    <t>ENGAGING TRACTOR AND LABOUR FOR WARD MAINTENANCE</t>
  </si>
  <si>
    <t>Health &amp; Sanitation</t>
  </si>
  <si>
    <t>G H RAJU</t>
  </si>
  <si>
    <t>112-16-000004</t>
  </si>
  <si>
    <t>ASPHALTING OF RAMA TEMPLE ROAD UPTO 8TH CROSS JUNCTION IN DOOPANAHALLI IN WARD NO 112 DOMLUR</t>
  </si>
  <si>
    <t>112-16-000011</t>
  </si>
  <si>
    <t>ASPHALTING 3RD MAIN ROAD IN DOMLUR LAYOUT IN WARD NO 112 DOMLUR</t>
  </si>
  <si>
    <t>112-16-000001</t>
  </si>
  <si>
    <t>Operation and Maintenance of street lights at Domlur area ward nos 112 Package E28 for one year.</t>
  </si>
  <si>
    <t>M/s.Rainbow Electricals</t>
  </si>
  <si>
    <t>P0300</t>
  </si>
  <si>
    <t>M and R to Street Lights - Replacement of Burnt Bulbs etc. (Package)</t>
  </si>
  <si>
    <t>ddo089</t>
  </si>
  <si>
    <t xml:space="preserve"> Assistant Executive Engineer Electrical East Zone</t>
  </si>
  <si>
    <t>112-17-000038</t>
  </si>
  <si>
    <t>Essential repairs and improvements to class rooms, Toilets and other works at BBMP Primary School at Doopanahalli HAL 2nd stage in ward no 112 Domlur</t>
  </si>
  <si>
    <t xml:space="preserve">Sampanna Satish </t>
  </si>
  <si>
    <t>Current</t>
  </si>
  <si>
    <t>August</t>
  </si>
  <si>
    <t>112-14-000045</t>
  </si>
  <si>
    <t>Construction of Gym Centre building in BDA layout in ward No.112, Domlur.</t>
  </si>
  <si>
    <t>112-17-000033</t>
  </si>
  <si>
    <t>WATER SUPPLY ANNUAL MAINTENANCE OF REPAIRS IN WARD NO 112 DOMLUR</t>
  </si>
  <si>
    <t>Water &amp; Sanitary</t>
  </si>
  <si>
    <t xml:space="preserve">KRIDL </t>
  </si>
  <si>
    <t>P1802</t>
  </si>
  <si>
    <t>Water Supply New Areas</t>
  </si>
  <si>
    <t>112-18-000047</t>
  </si>
  <si>
    <t>IMPROVEMENTS TO HUTTING COLONY AND OTHER DEVELOPMENT WORKS IN WARD NO 112 DOMLUR</t>
  </si>
  <si>
    <t>M/s KRIDL</t>
  </si>
  <si>
    <t>P1878</t>
  </si>
  <si>
    <t>18per - Works (Bhagyajyothi, Sooru / Neeru Yojane and General) (54 Lakhs / New Wards)</t>
  </si>
  <si>
    <t>112-18-000049</t>
  </si>
  <si>
    <t>PROVIDING PIPELINE AND OTHER DEVELOPMENT WORKS IN ISRO SLUM IN WARD NO 112 DOMLUR</t>
  </si>
  <si>
    <t xml:space="preserve">M/s KRIDL </t>
  </si>
  <si>
    <t>112-17-000018</t>
  </si>
  <si>
    <t xml:space="preserve">Providing and fixing of LED Street lights in Ward No 112 in Shanthinagar Division </t>
  </si>
  <si>
    <t>M/s.S.M.S. Electricals</t>
  </si>
  <si>
    <t>September</t>
  </si>
  <si>
    <t>112-16-000067</t>
  </si>
  <si>
    <t>DRILLING OF BOREWELLS AT BDA QUATRES AND SURROUNDING AREA DOOPANAHALLI AK COLONY AND HUTTING COLONY IN WARD NO 112 DOMLUR</t>
  </si>
  <si>
    <t>Technical Manager KRIDL</t>
  </si>
  <si>
    <t>October</t>
  </si>
  <si>
    <t>112-16-000032</t>
  </si>
  <si>
    <t>LANE CONCRETING TO ISRO SLUM IN WARD NO 112</t>
  </si>
  <si>
    <t xml:space="preserve">M/s Amrutha Constructions Pvt Ltd </t>
  </si>
  <si>
    <t>112-16-000033</t>
  </si>
  <si>
    <t>CONSTRUCTION OF TOILET BLOCK IN ISRO SLUM IN WARD NO 112</t>
  </si>
  <si>
    <t>M/s Amrutha Constructions Pvt Ltd</t>
  </si>
  <si>
    <t>.Package-III Comprehensive of development of roads and drains in ward no 112in Shanthinagara Constituency (11 Works)</t>
  </si>
  <si>
    <t xml:space="preserve">M/s RBI Technical Services </t>
  </si>
  <si>
    <t>RBI Technical Services</t>
  </si>
  <si>
    <t>112-18-000040</t>
  </si>
  <si>
    <t>DRILLING OF BOREWELL AND PROVIDING WATER SUPPLY CONNECTION OF WATER SCARCITY AREA IN WARD NO 112 DOMLUR</t>
  </si>
  <si>
    <t xml:space="preserve">Technical Manager KRIDL </t>
  </si>
  <si>
    <t>112-18-000031</t>
  </si>
  <si>
    <t>Providing Street Lights and Maintenance in ward No. 112 Domlur</t>
  </si>
  <si>
    <t>M/s.KRIDL</t>
  </si>
  <si>
    <t>P3290</t>
  </si>
  <si>
    <t>14th Finance Commission Works - Providing Street Lights and Maintenance</t>
  </si>
  <si>
    <t>112-18-000102</t>
  </si>
  <si>
    <t xml:space="preserve">Providing Safety grill and beautification around Indira Canteen in Ward No. 112 Domaluru </t>
  </si>
  <si>
    <t>Indira Canteen</t>
  </si>
  <si>
    <t>November</t>
  </si>
  <si>
    <t>112-17-000015</t>
  </si>
  <si>
    <t>PROVIDING CC ROAD TO 3RD MAIN FROM ANJANEYA TEMPLE ROAD TO RAGHAVENDRA TEMPLE IN WARD NO 112 DOMLUR</t>
  </si>
  <si>
    <t>KRISHNA REDDY VENKATESH</t>
  </si>
  <si>
    <t>December</t>
  </si>
  <si>
    <t>112-17-000037</t>
  </si>
  <si>
    <t>Essential repairs and improvements to class rooms, Toilets and other works at BBMP Shishu Vihar Kendra in ward no 112 Domlur</t>
  </si>
  <si>
    <t>SAMPANNA SATISH</t>
  </si>
  <si>
    <t>January</t>
  </si>
  <si>
    <t>112-18-000109</t>
  </si>
  <si>
    <t xml:space="preserve">Providing grill and other development of works at Park in Ward No 112 </t>
  </si>
  <si>
    <t>February</t>
  </si>
  <si>
    <t>112-17-000004</t>
  </si>
  <si>
    <t>Construction of Unity Building Gallery and Bayalu Rangamantapa in ward no 112 Domlur</t>
  </si>
  <si>
    <t>Public Amenities</t>
  </si>
  <si>
    <t>K DODDAHANUMANTHAPPA</t>
  </si>
  <si>
    <t>P3111</t>
  </si>
  <si>
    <t>State Finance Commission Untied Grant Works</t>
  </si>
  <si>
    <t>112-17-000013</t>
  </si>
  <si>
    <t>IMPROVEMENT TO DRAIN FROM DOMLUR 2ND STAGE TO DOOPANAHALLI VILLAGE IN WARD NO 112 DOMLUR</t>
  </si>
  <si>
    <t>K S Mahalingappa</t>
  </si>
  <si>
    <t>March</t>
  </si>
  <si>
    <t>112-18-000048</t>
  </si>
  <si>
    <t>DEVELOPMENTAL WORKS TO ANDRA COLONY PARK IN WARD NO 112 DOMLUR</t>
  </si>
  <si>
    <t>112-18-000038</t>
  </si>
  <si>
    <t>Providing Storm Water Drain Works in ward No. 112 Domlur</t>
  </si>
  <si>
    <t>Storm Water Drains</t>
  </si>
  <si>
    <t>P3297</t>
  </si>
  <si>
    <t>14th Finance Commission Grants - SWD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</si>
</sst>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3"/>
  <sheetViews>
    <sheetView tabSelected="1" workbookViewId="0">
      <pane ySplit="1" topLeftCell="A2" activePane="bottomLeft" state="frozen"/>
      <selection activeCell="H1" sqref="H1"/>
      <selection pane="bottomLeft" activeCell="A2" sqref="A2:XFD73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92</v>
      </c>
      <c r="B2" s="9" t="s">
        <v>33</v>
      </c>
      <c r="C2" s="10">
        <v>43194</v>
      </c>
      <c r="D2" s="11">
        <v>112</v>
      </c>
      <c r="E2" s="12" t="s">
        <v>34</v>
      </c>
      <c r="F2" s="12" t="s">
        <v>34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"000084"</f>
        <v>000084</v>
      </c>
      <c r="M2" s="10">
        <v>43087</v>
      </c>
      <c r="N2" s="11" t="str">
        <f>"000056"</f>
        <v>000056</v>
      </c>
      <c r="O2" s="10">
        <v>43087</v>
      </c>
      <c r="P2" s="11" t="str">
        <f>"000074"</f>
        <v>000074</v>
      </c>
      <c r="Q2" s="10">
        <v>43087</v>
      </c>
      <c r="R2" s="11">
        <v>17</v>
      </c>
      <c r="S2" s="11" t="str">
        <f>"008779"</f>
        <v>008779</v>
      </c>
      <c r="T2" s="10">
        <v>43098</v>
      </c>
      <c r="U2" s="14">
        <v>102.41070000000001</v>
      </c>
      <c r="V2" s="14">
        <v>3.17475</v>
      </c>
      <c r="W2" s="14">
        <v>99.235950000000003</v>
      </c>
      <c r="X2" s="11">
        <v>1</v>
      </c>
      <c r="Y2" s="10">
        <v>43194</v>
      </c>
      <c r="Z2" s="11">
        <v>8022975812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1.0241070000000001</v>
      </c>
      <c r="AG2" s="11" t="s">
        <v>45</v>
      </c>
    </row>
    <row r="3" spans="1:33" x14ac:dyDescent="0.2">
      <c r="A3" s="8">
        <v>93</v>
      </c>
      <c r="B3" s="9" t="s">
        <v>33</v>
      </c>
      <c r="C3" s="10">
        <v>43194</v>
      </c>
      <c r="D3" s="11">
        <v>112</v>
      </c>
      <c r="E3" s="12" t="s">
        <v>34</v>
      </c>
      <c r="F3" s="12" t="s">
        <v>34</v>
      </c>
      <c r="G3" s="12" t="s">
        <v>35</v>
      </c>
      <c r="H3" s="12" t="s">
        <v>36</v>
      </c>
      <c r="I3" s="11" t="s">
        <v>37</v>
      </c>
      <c r="J3" s="12" t="s">
        <v>38</v>
      </c>
      <c r="K3" s="13" t="s">
        <v>39</v>
      </c>
      <c r="L3" s="11" t="str">
        <f>"000084"</f>
        <v>000084</v>
      </c>
      <c r="M3" s="10">
        <v>43087</v>
      </c>
      <c r="N3" s="11" t="str">
        <f>"000056"</f>
        <v>000056</v>
      </c>
      <c r="O3" s="10">
        <v>43087</v>
      </c>
      <c r="P3" s="11" t="str">
        <f>"000074"</f>
        <v>000074</v>
      </c>
      <c r="Q3" s="10">
        <v>43087</v>
      </c>
      <c r="R3" s="11">
        <v>17</v>
      </c>
      <c r="S3" s="11" t="str">
        <f>"008779"</f>
        <v>008779</v>
      </c>
      <c r="T3" s="10">
        <v>43098</v>
      </c>
      <c r="U3" s="14">
        <v>6.25</v>
      </c>
      <c r="V3" s="14">
        <v>0.625</v>
      </c>
      <c r="W3" s="14">
        <v>5.625</v>
      </c>
      <c r="X3" s="11">
        <v>1</v>
      </c>
      <c r="Y3" s="10">
        <v>43194</v>
      </c>
      <c r="Z3" s="11">
        <v>8022975812</v>
      </c>
      <c r="AA3" s="12" t="s">
        <v>46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6.25E-2</v>
      </c>
      <c r="AG3" s="11" t="s">
        <v>45</v>
      </c>
    </row>
    <row r="4" spans="1:33" x14ac:dyDescent="0.2">
      <c r="A4" s="8">
        <v>94</v>
      </c>
      <c r="B4" s="9" t="s">
        <v>33</v>
      </c>
      <c r="C4" s="10">
        <v>43194</v>
      </c>
      <c r="D4" s="11">
        <v>112</v>
      </c>
      <c r="E4" s="12" t="s">
        <v>34</v>
      </c>
      <c r="F4" s="12" t="s">
        <v>34</v>
      </c>
      <c r="G4" s="12" t="s">
        <v>35</v>
      </c>
      <c r="H4" s="12" t="s">
        <v>36</v>
      </c>
      <c r="I4" s="11" t="s">
        <v>47</v>
      </c>
      <c r="J4" s="12" t="s">
        <v>48</v>
      </c>
      <c r="K4" s="13" t="s">
        <v>39</v>
      </c>
      <c r="L4" s="11" t="str">
        <f>"000118"</f>
        <v>000118</v>
      </c>
      <c r="M4" s="10">
        <v>43144</v>
      </c>
      <c r="N4" s="11" t="str">
        <f>"000079"</f>
        <v>000079</v>
      </c>
      <c r="O4" s="10">
        <v>43145</v>
      </c>
      <c r="P4" s="11" t="str">
        <f>"000107"</f>
        <v>000107</v>
      </c>
      <c r="Q4" s="10">
        <v>43145</v>
      </c>
      <c r="R4" s="11">
        <v>17</v>
      </c>
      <c r="S4" s="11" t="str">
        <f>"000342"</f>
        <v>000342</v>
      </c>
      <c r="T4" s="10">
        <v>43196</v>
      </c>
      <c r="U4" s="14">
        <v>2.97</v>
      </c>
      <c r="V4" s="14">
        <v>0.29699999999999999</v>
      </c>
      <c r="W4" s="14">
        <v>2.673</v>
      </c>
      <c r="X4" s="11">
        <v>1</v>
      </c>
      <c r="Y4" s="10">
        <v>43194</v>
      </c>
      <c r="Z4" s="11">
        <v>8022975812</v>
      </c>
      <c r="AA4" s="12" t="s">
        <v>46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2.9700000000000001E-2</v>
      </c>
      <c r="AG4" s="11" t="s">
        <v>45</v>
      </c>
    </row>
    <row r="5" spans="1:33" x14ac:dyDescent="0.2">
      <c r="A5" s="8">
        <v>259</v>
      </c>
      <c r="B5" s="9" t="s">
        <v>33</v>
      </c>
      <c r="C5" s="10">
        <v>43196</v>
      </c>
      <c r="D5" s="11">
        <v>112</v>
      </c>
      <c r="E5" s="12" t="s">
        <v>34</v>
      </c>
      <c r="F5" s="12" t="s">
        <v>34</v>
      </c>
      <c r="G5" s="12" t="s">
        <v>35</v>
      </c>
      <c r="H5" s="12" t="s">
        <v>36</v>
      </c>
      <c r="I5" s="11" t="s">
        <v>47</v>
      </c>
      <c r="J5" s="12" t="s">
        <v>48</v>
      </c>
      <c r="K5" s="13" t="s">
        <v>39</v>
      </c>
      <c r="L5" s="11" t="str">
        <f>"000118"</f>
        <v>000118</v>
      </c>
      <c r="M5" s="10">
        <v>43144</v>
      </c>
      <c r="N5" s="11" t="str">
        <f>"000079"</f>
        <v>000079</v>
      </c>
      <c r="O5" s="10">
        <v>43145</v>
      </c>
      <c r="P5" s="11" t="str">
        <f>"000107"</f>
        <v>000107</v>
      </c>
      <c r="Q5" s="10">
        <v>43145</v>
      </c>
      <c r="R5" s="11">
        <v>17</v>
      </c>
      <c r="S5" s="11" t="str">
        <f>"000342"</f>
        <v>000342</v>
      </c>
      <c r="T5" s="10">
        <v>43196</v>
      </c>
      <c r="U5" s="14">
        <v>524.48080000000004</v>
      </c>
      <c r="V5" s="14">
        <v>15.4078</v>
      </c>
      <c r="W5" s="14">
        <v>509.07299999999998</v>
      </c>
      <c r="X5" s="11">
        <v>7</v>
      </c>
      <c r="Y5" s="10">
        <v>43196</v>
      </c>
      <c r="Z5" s="11">
        <v>8022975812</v>
      </c>
      <c r="AA5" s="12" t="s">
        <v>49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5.2448080000000008</v>
      </c>
      <c r="AG5" s="11" t="s">
        <v>45</v>
      </c>
    </row>
    <row r="6" spans="1:33" x14ac:dyDescent="0.2">
      <c r="A6" s="8">
        <v>411</v>
      </c>
      <c r="B6" s="9" t="s">
        <v>33</v>
      </c>
      <c r="C6" s="10">
        <v>43200</v>
      </c>
      <c r="D6" s="11">
        <v>112</v>
      </c>
      <c r="E6" s="12" t="s">
        <v>34</v>
      </c>
      <c r="F6" s="12" t="s">
        <v>34</v>
      </c>
      <c r="G6" s="12" t="s">
        <v>35</v>
      </c>
      <c r="H6" s="12" t="s">
        <v>36</v>
      </c>
      <c r="I6" s="11" t="s">
        <v>50</v>
      </c>
      <c r="J6" s="12" t="s">
        <v>51</v>
      </c>
      <c r="K6" s="13" t="s">
        <v>52</v>
      </c>
      <c r="L6" s="11" t="str">
        <f>"000135"</f>
        <v>000135</v>
      </c>
      <c r="M6" s="10">
        <v>43181</v>
      </c>
      <c r="N6" s="11" t="str">
        <f>"000091"</f>
        <v>000091</v>
      </c>
      <c r="O6" s="10">
        <v>43181</v>
      </c>
      <c r="P6" s="11" t="str">
        <f>"000125"</f>
        <v>000125</v>
      </c>
      <c r="Q6" s="10">
        <v>43181</v>
      </c>
      <c r="R6" s="11">
        <v>17</v>
      </c>
      <c r="S6" s="11" t="str">
        <f>"000422"</f>
        <v>000422</v>
      </c>
      <c r="T6" s="10">
        <v>43199</v>
      </c>
      <c r="U6" s="14">
        <v>29.284199999999998</v>
      </c>
      <c r="V6" s="14">
        <v>2.665</v>
      </c>
      <c r="W6" s="14">
        <v>26.619199999999999</v>
      </c>
      <c r="X6" s="11">
        <v>13</v>
      </c>
      <c r="Y6" s="10">
        <v>43200</v>
      </c>
      <c r="Z6" s="11">
        <v>8022975812</v>
      </c>
      <c r="AA6" s="12" t="s">
        <v>53</v>
      </c>
      <c r="AB6" s="11" t="s">
        <v>54</v>
      </c>
      <c r="AC6" s="12" t="s">
        <v>55</v>
      </c>
      <c r="AD6" s="11" t="s">
        <v>43</v>
      </c>
      <c r="AE6" s="12" t="s">
        <v>44</v>
      </c>
      <c r="AF6" s="14">
        <v>0.29284199999999999</v>
      </c>
      <c r="AG6" s="11" t="s">
        <v>45</v>
      </c>
    </row>
    <row r="7" spans="1:33" x14ac:dyDescent="0.2">
      <c r="A7" s="8">
        <v>412</v>
      </c>
      <c r="B7" s="9" t="s">
        <v>33</v>
      </c>
      <c r="C7" s="10">
        <v>43200</v>
      </c>
      <c r="D7" s="11">
        <v>112</v>
      </c>
      <c r="E7" s="12" t="s">
        <v>34</v>
      </c>
      <c r="F7" s="12" t="s">
        <v>34</v>
      </c>
      <c r="G7" s="12" t="s">
        <v>35</v>
      </c>
      <c r="H7" s="12" t="s">
        <v>36</v>
      </c>
      <c r="I7" s="11" t="s">
        <v>56</v>
      </c>
      <c r="J7" s="12" t="s">
        <v>57</v>
      </c>
      <c r="K7" s="13" t="s">
        <v>39</v>
      </c>
      <c r="L7" s="11" t="str">
        <f>"000155"</f>
        <v>000155</v>
      </c>
      <c r="M7" s="10">
        <v>43190</v>
      </c>
      <c r="N7" s="11" t="str">
        <f>"000113"</f>
        <v>000113</v>
      </c>
      <c r="O7" s="10">
        <v>43190</v>
      </c>
      <c r="P7" s="11" t="str">
        <f>"000143"</f>
        <v>000143</v>
      </c>
      <c r="Q7" s="10">
        <v>43190</v>
      </c>
      <c r="R7" s="11">
        <v>17</v>
      </c>
      <c r="S7" s="11" t="str">
        <f>"000454"</f>
        <v>000454</v>
      </c>
      <c r="T7" s="10">
        <v>43199</v>
      </c>
      <c r="U7" s="14">
        <v>99.814099999999996</v>
      </c>
      <c r="V7" s="14">
        <v>9.0830500000000001</v>
      </c>
      <c r="W7" s="14">
        <v>90.731049999999996</v>
      </c>
      <c r="X7" s="11">
        <v>13</v>
      </c>
      <c r="Y7" s="10">
        <v>43200</v>
      </c>
      <c r="Z7" s="11">
        <v>8022975812</v>
      </c>
      <c r="AA7" s="12" t="s">
        <v>58</v>
      </c>
      <c r="AB7" s="11" t="s">
        <v>54</v>
      </c>
      <c r="AC7" s="12" t="s">
        <v>55</v>
      </c>
      <c r="AD7" s="11" t="s">
        <v>43</v>
      </c>
      <c r="AE7" s="12" t="s">
        <v>44</v>
      </c>
      <c r="AF7" s="14">
        <v>0.99814099999999994</v>
      </c>
      <c r="AG7" s="11" t="s">
        <v>45</v>
      </c>
    </row>
    <row r="8" spans="1:33" x14ac:dyDescent="0.2">
      <c r="A8" s="8">
        <v>863</v>
      </c>
      <c r="B8" s="9" t="s">
        <v>59</v>
      </c>
      <c r="C8" s="10">
        <v>43227</v>
      </c>
      <c r="D8" s="11">
        <v>112</v>
      </c>
      <c r="E8" s="12" t="s">
        <v>34</v>
      </c>
      <c r="F8" s="12" t="s">
        <v>34</v>
      </c>
      <c r="G8" s="12" t="s">
        <v>35</v>
      </c>
      <c r="H8" s="12" t="s">
        <v>36</v>
      </c>
      <c r="I8" s="11" t="s">
        <v>60</v>
      </c>
      <c r="J8" s="12" t="s">
        <v>61</v>
      </c>
      <c r="K8" s="13" t="s">
        <v>39</v>
      </c>
      <c r="L8" s="11" t="str">
        <f>"000149"</f>
        <v>000149</v>
      </c>
      <c r="M8" s="10">
        <v>43182</v>
      </c>
      <c r="N8" s="11" t="str">
        <f>"000096"</f>
        <v>000096</v>
      </c>
      <c r="O8" s="10">
        <v>43182</v>
      </c>
      <c r="P8" s="11" t="str">
        <f>"000129"</f>
        <v>000129</v>
      </c>
      <c r="Q8" s="10">
        <v>43182</v>
      </c>
      <c r="R8" s="11">
        <v>16</v>
      </c>
      <c r="S8" s="11" t="str">
        <f>"001086"</f>
        <v>001086</v>
      </c>
      <c r="T8" s="10">
        <v>43224</v>
      </c>
      <c r="U8" s="14">
        <v>21.0398</v>
      </c>
      <c r="V8" s="14">
        <v>0.86224999999999996</v>
      </c>
      <c r="W8" s="14">
        <v>20.17755</v>
      </c>
      <c r="X8" s="11">
        <v>41</v>
      </c>
      <c r="Y8" s="10">
        <v>43227</v>
      </c>
      <c r="Z8" s="11">
        <v>8022975812</v>
      </c>
      <c r="AA8" s="12" t="s">
        <v>62</v>
      </c>
      <c r="AB8" s="11" t="s">
        <v>63</v>
      </c>
      <c r="AC8" s="12" t="s">
        <v>64</v>
      </c>
      <c r="AD8" s="11" t="s">
        <v>43</v>
      </c>
      <c r="AE8" s="12" t="s">
        <v>44</v>
      </c>
      <c r="AF8" s="14">
        <v>0.210398</v>
      </c>
      <c r="AG8" s="11" t="s">
        <v>45</v>
      </c>
    </row>
    <row r="9" spans="1:33" x14ac:dyDescent="0.2">
      <c r="A9" s="8">
        <v>864</v>
      </c>
      <c r="B9" s="9" t="s">
        <v>59</v>
      </c>
      <c r="C9" s="10">
        <v>43227</v>
      </c>
      <c r="D9" s="11">
        <v>112</v>
      </c>
      <c r="E9" s="12" t="s">
        <v>34</v>
      </c>
      <c r="F9" s="12" t="s">
        <v>34</v>
      </c>
      <c r="G9" s="12" t="s">
        <v>35</v>
      </c>
      <c r="H9" s="12" t="s">
        <v>36</v>
      </c>
      <c r="I9" s="11" t="s">
        <v>65</v>
      </c>
      <c r="J9" s="12" t="s">
        <v>66</v>
      </c>
      <c r="K9" s="13" t="s">
        <v>39</v>
      </c>
      <c r="L9" s="11" t="str">
        <f>"000148"</f>
        <v>000148</v>
      </c>
      <c r="M9" s="10">
        <v>43182</v>
      </c>
      <c r="N9" s="11" t="str">
        <f>"000097"</f>
        <v>000097</v>
      </c>
      <c r="O9" s="10">
        <v>43182</v>
      </c>
      <c r="P9" s="11" t="str">
        <f>"000130"</f>
        <v>000130</v>
      </c>
      <c r="Q9" s="10">
        <v>43182</v>
      </c>
      <c r="R9" s="11">
        <v>16</v>
      </c>
      <c r="S9" s="11" t="str">
        <f>"001087"</f>
        <v>001087</v>
      </c>
      <c r="T9" s="10">
        <v>43224</v>
      </c>
      <c r="U9" s="14">
        <v>23.0274</v>
      </c>
      <c r="V9" s="14">
        <v>0.94389999999999996</v>
      </c>
      <c r="W9" s="14">
        <v>22.083500000000001</v>
      </c>
      <c r="X9" s="11">
        <v>41</v>
      </c>
      <c r="Y9" s="10">
        <v>43227</v>
      </c>
      <c r="Z9" s="11">
        <v>8022975812</v>
      </c>
      <c r="AA9" s="12" t="s">
        <v>67</v>
      </c>
      <c r="AB9" s="11" t="s">
        <v>63</v>
      </c>
      <c r="AC9" s="12" t="s">
        <v>64</v>
      </c>
      <c r="AD9" s="11" t="s">
        <v>43</v>
      </c>
      <c r="AE9" s="12" t="s">
        <v>44</v>
      </c>
      <c r="AF9" s="14">
        <v>0.23027400000000001</v>
      </c>
      <c r="AG9" s="11" t="s">
        <v>45</v>
      </c>
    </row>
    <row r="10" spans="1:33" x14ac:dyDescent="0.2">
      <c r="A10" s="8">
        <v>865</v>
      </c>
      <c r="B10" s="9" t="s">
        <v>59</v>
      </c>
      <c r="C10" s="10">
        <v>43227</v>
      </c>
      <c r="D10" s="11">
        <v>112</v>
      </c>
      <c r="E10" s="12" t="s">
        <v>34</v>
      </c>
      <c r="F10" s="12" t="s">
        <v>34</v>
      </c>
      <c r="G10" s="12" t="s">
        <v>35</v>
      </c>
      <c r="H10" s="12" t="s">
        <v>36</v>
      </c>
      <c r="I10" s="11" t="s">
        <v>68</v>
      </c>
      <c r="J10" s="12" t="s">
        <v>69</v>
      </c>
      <c r="K10" s="13" t="s">
        <v>39</v>
      </c>
      <c r="L10" s="11" t="str">
        <f>"000147"</f>
        <v>000147</v>
      </c>
      <c r="M10" s="10">
        <v>43182</v>
      </c>
      <c r="N10" s="11" t="str">
        <f>"000098"</f>
        <v>000098</v>
      </c>
      <c r="O10" s="10">
        <v>43182</v>
      </c>
      <c r="P10" s="11" t="str">
        <f>"000131"</f>
        <v>000131</v>
      </c>
      <c r="Q10" s="10">
        <v>43182</v>
      </c>
      <c r="R10" s="11">
        <v>16</v>
      </c>
      <c r="S10" s="11" t="str">
        <f>"001088"</f>
        <v>001088</v>
      </c>
      <c r="T10" s="10">
        <v>43224</v>
      </c>
      <c r="U10" s="14">
        <v>23.741050000000001</v>
      </c>
      <c r="V10" s="14">
        <v>0.97345000000000004</v>
      </c>
      <c r="W10" s="14">
        <v>22.767600000000002</v>
      </c>
      <c r="X10" s="11">
        <v>41</v>
      </c>
      <c r="Y10" s="10">
        <v>43227</v>
      </c>
      <c r="Z10" s="11">
        <v>8022975812</v>
      </c>
      <c r="AA10" s="12" t="s">
        <v>62</v>
      </c>
      <c r="AB10" s="11" t="s">
        <v>63</v>
      </c>
      <c r="AC10" s="12" t="s">
        <v>64</v>
      </c>
      <c r="AD10" s="11" t="s">
        <v>43</v>
      </c>
      <c r="AE10" s="12" t="s">
        <v>44</v>
      </c>
      <c r="AF10" s="14">
        <v>0.23741050000000002</v>
      </c>
      <c r="AG10" s="11" t="s">
        <v>45</v>
      </c>
    </row>
    <row r="11" spans="1:33" x14ac:dyDescent="0.2">
      <c r="A11" s="8">
        <v>866</v>
      </c>
      <c r="B11" s="9" t="s">
        <v>59</v>
      </c>
      <c r="C11" s="10">
        <v>43227</v>
      </c>
      <c r="D11" s="11">
        <v>112</v>
      </c>
      <c r="E11" s="12" t="s">
        <v>34</v>
      </c>
      <c r="F11" s="12" t="s">
        <v>34</v>
      </c>
      <c r="G11" s="12" t="s">
        <v>35</v>
      </c>
      <c r="H11" s="12" t="s">
        <v>36</v>
      </c>
      <c r="I11" s="11" t="s">
        <v>70</v>
      </c>
      <c r="J11" s="12" t="s">
        <v>71</v>
      </c>
      <c r="K11" s="13" t="s">
        <v>39</v>
      </c>
      <c r="L11" s="11" t="str">
        <f>"000144"</f>
        <v>000144</v>
      </c>
      <c r="M11" s="10">
        <v>43182</v>
      </c>
      <c r="N11" s="11" t="str">
        <f>"000099"</f>
        <v>000099</v>
      </c>
      <c r="O11" s="10">
        <v>43182</v>
      </c>
      <c r="P11" s="11" t="str">
        <f>"000132"</f>
        <v>000132</v>
      </c>
      <c r="Q11" s="10">
        <v>43182</v>
      </c>
      <c r="R11" s="11">
        <v>16</v>
      </c>
      <c r="S11" s="11" t="str">
        <f>"001089"</f>
        <v>001089</v>
      </c>
      <c r="T11" s="10">
        <v>43224</v>
      </c>
      <c r="U11" s="14">
        <v>23.128050000000002</v>
      </c>
      <c r="V11" s="14">
        <v>0.94704999999999995</v>
      </c>
      <c r="W11" s="14">
        <v>22.181000000000001</v>
      </c>
      <c r="X11" s="11">
        <v>41</v>
      </c>
      <c r="Y11" s="10">
        <v>43227</v>
      </c>
      <c r="Z11" s="11">
        <v>8022975812</v>
      </c>
      <c r="AA11" s="12" t="s">
        <v>72</v>
      </c>
      <c r="AB11" s="11" t="s">
        <v>63</v>
      </c>
      <c r="AC11" s="12" t="s">
        <v>64</v>
      </c>
      <c r="AD11" s="11" t="s">
        <v>43</v>
      </c>
      <c r="AE11" s="12" t="s">
        <v>44</v>
      </c>
      <c r="AF11" s="14">
        <v>0.23128050000000003</v>
      </c>
      <c r="AG11" s="11" t="s">
        <v>45</v>
      </c>
    </row>
    <row r="12" spans="1:33" x14ac:dyDescent="0.2">
      <c r="A12" s="8">
        <v>867</v>
      </c>
      <c r="B12" s="9" t="s">
        <v>59</v>
      </c>
      <c r="C12" s="10">
        <v>43227</v>
      </c>
      <c r="D12" s="11">
        <v>112</v>
      </c>
      <c r="E12" s="12" t="s">
        <v>34</v>
      </c>
      <c r="F12" s="12" t="s">
        <v>34</v>
      </c>
      <c r="G12" s="12" t="s">
        <v>35</v>
      </c>
      <c r="H12" s="12" t="s">
        <v>36</v>
      </c>
      <c r="I12" s="11" t="s">
        <v>73</v>
      </c>
      <c r="J12" s="12" t="s">
        <v>74</v>
      </c>
      <c r="K12" s="13" t="s">
        <v>75</v>
      </c>
      <c r="L12" s="11" t="str">
        <f>"000142"</f>
        <v>000142</v>
      </c>
      <c r="M12" s="10">
        <v>43182</v>
      </c>
      <c r="N12" s="11" t="str">
        <f>"000102"</f>
        <v>000102</v>
      </c>
      <c r="O12" s="10">
        <v>43182</v>
      </c>
      <c r="P12" s="11" t="str">
        <f>"000133"</f>
        <v>000133</v>
      </c>
      <c r="Q12" s="10">
        <v>43182</v>
      </c>
      <c r="R12" s="11">
        <v>16</v>
      </c>
      <c r="S12" s="11" t="str">
        <f>"001090"</f>
        <v>001090</v>
      </c>
      <c r="T12" s="10">
        <v>43224</v>
      </c>
      <c r="U12" s="14">
        <v>23.732150000000001</v>
      </c>
      <c r="V12" s="14">
        <v>0.9728</v>
      </c>
      <c r="W12" s="14">
        <v>22.759350000000001</v>
      </c>
      <c r="X12" s="11">
        <v>41</v>
      </c>
      <c r="Y12" s="10">
        <v>43227</v>
      </c>
      <c r="Z12" s="11">
        <v>8022975812</v>
      </c>
      <c r="AA12" s="12" t="s">
        <v>72</v>
      </c>
      <c r="AB12" s="11" t="s">
        <v>63</v>
      </c>
      <c r="AC12" s="12" t="s">
        <v>64</v>
      </c>
      <c r="AD12" s="11" t="s">
        <v>43</v>
      </c>
      <c r="AE12" s="12" t="s">
        <v>44</v>
      </c>
      <c r="AF12" s="14">
        <v>0.23732150000000002</v>
      </c>
      <c r="AG12" s="11" t="s">
        <v>45</v>
      </c>
    </row>
    <row r="13" spans="1:33" x14ac:dyDescent="0.2">
      <c r="A13" s="8">
        <v>868</v>
      </c>
      <c r="B13" s="9" t="s">
        <v>59</v>
      </c>
      <c r="C13" s="10">
        <v>43227</v>
      </c>
      <c r="D13" s="11">
        <v>112</v>
      </c>
      <c r="E13" s="12" t="s">
        <v>34</v>
      </c>
      <c r="F13" s="12" t="s">
        <v>34</v>
      </c>
      <c r="G13" s="12" t="s">
        <v>35</v>
      </c>
      <c r="H13" s="12" t="s">
        <v>36</v>
      </c>
      <c r="I13" s="11" t="s">
        <v>76</v>
      </c>
      <c r="J13" s="12" t="s">
        <v>77</v>
      </c>
      <c r="K13" s="13" t="s">
        <v>39</v>
      </c>
      <c r="L13" s="11" t="str">
        <f>"000141"</f>
        <v>000141</v>
      </c>
      <c r="M13" s="10">
        <v>43182</v>
      </c>
      <c r="N13" s="11" t="str">
        <f>"000101"</f>
        <v>000101</v>
      </c>
      <c r="O13" s="10">
        <v>43182</v>
      </c>
      <c r="P13" s="11" t="str">
        <f>"000134"</f>
        <v>000134</v>
      </c>
      <c r="Q13" s="10">
        <v>43182</v>
      </c>
      <c r="R13" s="11">
        <v>16</v>
      </c>
      <c r="S13" s="11" t="str">
        <f>"001091"</f>
        <v>001091</v>
      </c>
      <c r="T13" s="10">
        <v>43224</v>
      </c>
      <c r="U13" s="14">
        <v>23.795529999999999</v>
      </c>
      <c r="V13" s="14">
        <v>0.97575000000000001</v>
      </c>
      <c r="W13" s="14">
        <v>22.819780000000002</v>
      </c>
      <c r="X13" s="11">
        <v>41</v>
      </c>
      <c r="Y13" s="10">
        <v>43227</v>
      </c>
      <c r="Z13" s="11">
        <v>8022975812</v>
      </c>
      <c r="AA13" s="12" t="s">
        <v>62</v>
      </c>
      <c r="AB13" s="11" t="s">
        <v>63</v>
      </c>
      <c r="AC13" s="12" t="s">
        <v>64</v>
      </c>
      <c r="AD13" s="11" t="s">
        <v>43</v>
      </c>
      <c r="AE13" s="12" t="s">
        <v>44</v>
      </c>
      <c r="AF13" s="14">
        <v>0.23795529999999998</v>
      </c>
      <c r="AG13" s="11" t="s">
        <v>45</v>
      </c>
    </row>
    <row r="14" spans="1:33" x14ac:dyDescent="0.2">
      <c r="A14" s="8">
        <v>869</v>
      </c>
      <c r="B14" s="9" t="s">
        <v>59</v>
      </c>
      <c r="C14" s="10">
        <v>43227</v>
      </c>
      <c r="D14" s="11">
        <v>112</v>
      </c>
      <c r="E14" s="12" t="s">
        <v>34</v>
      </c>
      <c r="F14" s="12" t="s">
        <v>34</v>
      </c>
      <c r="G14" s="12" t="s">
        <v>35</v>
      </c>
      <c r="H14" s="12" t="s">
        <v>36</v>
      </c>
      <c r="I14" s="11" t="s">
        <v>78</v>
      </c>
      <c r="J14" s="12" t="s">
        <v>79</v>
      </c>
      <c r="K14" s="13" t="s">
        <v>39</v>
      </c>
      <c r="L14" s="11" t="str">
        <f>"000138"</f>
        <v>000138</v>
      </c>
      <c r="M14" s="10">
        <v>43181</v>
      </c>
      <c r="N14" s="11" t="str">
        <f>"000094"</f>
        <v>000094</v>
      </c>
      <c r="O14" s="10">
        <v>43182</v>
      </c>
      <c r="P14" s="11" t="str">
        <f>"000127"</f>
        <v>000127</v>
      </c>
      <c r="Q14" s="10">
        <v>43182</v>
      </c>
      <c r="R14" s="11">
        <v>16</v>
      </c>
      <c r="S14" s="11" t="str">
        <f>"001092"</f>
        <v>001092</v>
      </c>
      <c r="T14" s="10">
        <v>43224</v>
      </c>
      <c r="U14" s="14">
        <v>53.334049999999998</v>
      </c>
      <c r="V14" s="14">
        <v>2.7193999999999998</v>
      </c>
      <c r="W14" s="14">
        <v>50.614649999999997</v>
      </c>
      <c r="X14" s="11">
        <v>41</v>
      </c>
      <c r="Y14" s="10">
        <v>43227</v>
      </c>
      <c r="Z14" s="11">
        <v>8022975812</v>
      </c>
      <c r="AA14" s="12" t="s">
        <v>72</v>
      </c>
      <c r="AB14" s="11" t="s">
        <v>63</v>
      </c>
      <c r="AC14" s="12" t="s">
        <v>64</v>
      </c>
      <c r="AD14" s="11" t="s">
        <v>43</v>
      </c>
      <c r="AE14" s="12" t="s">
        <v>44</v>
      </c>
      <c r="AF14" s="14">
        <v>0.5333405</v>
      </c>
      <c r="AG14" s="11" t="s">
        <v>45</v>
      </c>
    </row>
    <row r="15" spans="1:33" x14ac:dyDescent="0.2">
      <c r="A15" s="8">
        <v>980</v>
      </c>
      <c r="B15" s="9" t="s">
        <v>59</v>
      </c>
      <c r="C15" s="10">
        <v>43229</v>
      </c>
      <c r="D15" s="11">
        <v>112</v>
      </c>
      <c r="E15" s="12" t="s">
        <v>34</v>
      </c>
      <c r="F15" s="12" t="s">
        <v>34</v>
      </c>
      <c r="G15" s="12" t="s">
        <v>35</v>
      </c>
      <c r="H15" s="12" t="s">
        <v>36</v>
      </c>
      <c r="I15" s="11" t="s">
        <v>80</v>
      </c>
      <c r="J15" s="12" t="s">
        <v>81</v>
      </c>
      <c r="K15" s="13" t="s">
        <v>39</v>
      </c>
      <c r="L15" s="11" t="str">
        <f>"000137"</f>
        <v>000137</v>
      </c>
      <c r="M15" s="10">
        <v>43181</v>
      </c>
      <c r="N15" s="11" t="str">
        <f>"000095"</f>
        <v>000095</v>
      </c>
      <c r="O15" s="10">
        <v>43182</v>
      </c>
      <c r="P15" s="11" t="str">
        <f>"000128"</f>
        <v>000128</v>
      </c>
      <c r="Q15" s="10">
        <v>43182</v>
      </c>
      <c r="R15" s="11">
        <v>16</v>
      </c>
      <c r="S15" s="11" t="str">
        <f>"001117"</f>
        <v>001117</v>
      </c>
      <c r="T15" s="10">
        <v>43227</v>
      </c>
      <c r="U15" s="14">
        <v>53.853479999999998</v>
      </c>
      <c r="V15" s="14">
        <v>2.74655</v>
      </c>
      <c r="W15" s="14">
        <v>51.106929999999998</v>
      </c>
      <c r="X15" s="11">
        <v>43</v>
      </c>
      <c r="Y15" s="10">
        <v>43229</v>
      </c>
      <c r="Z15" s="11">
        <v>8022975812</v>
      </c>
      <c r="AA15" s="12" t="s">
        <v>82</v>
      </c>
      <c r="AB15" s="11" t="s">
        <v>63</v>
      </c>
      <c r="AC15" s="12" t="s">
        <v>64</v>
      </c>
      <c r="AD15" s="11" t="s">
        <v>43</v>
      </c>
      <c r="AE15" s="12" t="s">
        <v>44</v>
      </c>
      <c r="AF15" s="14">
        <v>0.53853479999999998</v>
      </c>
      <c r="AG15" s="11" t="s">
        <v>45</v>
      </c>
    </row>
    <row r="16" spans="1:33" x14ac:dyDescent="0.2">
      <c r="A16" s="8">
        <v>981</v>
      </c>
      <c r="B16" s="9" t="s">
        <v>59</v>
      </c>
      <c r="C16" s="10">
        <v>43229</v>
      </c>
      <c r="D16" s="11">
        <v>112</v>
      </c>
      <c r="E16" s="12" t="s">
        <v>34</v>
      </c>
      <c r="F16" s="12" t="s">
        <v>34</v>
      </c>
      <c r="G16" s="12" t="s">
        <v>35</v>
      </c>
      <c r="H16" s="12" t="s">
        <v>36</v>
      </c>
      <c r="I16" s="11" t="s">
        <v>83</v>
      </c>
      <c r="J16" s="12" t="s">
        <v>84</v>
      </c>
      <c r="K16" s="13" t="s">
        <v>52</v>
      </c>
      <c r="L16" s="11" t="str">
        <f>"000007"</f>
        <v>000007</v>
      </c>
      <c r="M16" s="10">
        <v>42934</v>
      </c>
      <c r="N16" s="11" t="str">
        <f>"000001"</f>
        <v>000001</v>
      </c>
      <c r="O16" s="10">
        <v>42935</v>
      </c>
      <c r="P16" s="11" t="str">
        <f>"000001"</f>
        <v>000001</v>
      </c>
      <c r="Q16" s="10">
        <v>42935</v>
      </c>
      <c r="R16" s="11">
        <v>16</v>
      </c>
      <c r="S16" s="11" t="str">
        <f>"004869"</f>
        <v>004869</v>
      </c>
      <c r="T16" s="10">
        <v>42966</v>
      </c>
      <c r="U16" s="14">
        <v>8.6170200000000001</v>
      </c>
      <c r="V16" s="14">
        <v>0.35520000000000002</v>
      </c>
      <c r="W16" s="14">
        <v>8.2618200000000002</v>
      </c>
      <c r="X16" s="11">
        <v>43</v>
      </c>
      <c r="Y16" s="10">
        <v>43229</v>
      </c>
      <c r="Z16" s="11">
        <v>8022975812</v>
      </c>
      <c r="AA16" s="12" t="s">
        <v>72</v>
      </c>
      <c r="AB16" s="11" t="s">
        <v>63</v>
      </c>
      <c r="AC16" s="12" t="s">
        <v>64</v>
      </c>
      <c r="AD16" s="11" t="s">
        <v>43</v>
      </c>
      <c r="AE16" s="12" t="s">
        <v>44</v>
      </c>
      <c r="AF16" s="14">
        <v>8.6170200000000002E-2</v>
      </c>
      <c r="AG16" s="11" t="s">
        <v>45</v>
      </c>
    </row>
    <row r="17" spans="1:33" x14ac:dyDescent="0.2">
      <c r="A17" s="8">
        <v>982</v>
      </c>
      <c r="B17" s="9" t="s">
        <v>59</v>
      </c>
      <c r="C17" s="10">
        <v>43229</v>
      </c>
      <c r="D17" s="11">
        <v>112</v>
      </c>
      <c r="E17" s="12" t="s">
        <v>34</v>
      </c>
      <c r="F17" s="12" t="s">
        <v>34</v>
      </c>
      <c r="G17" s="12" t="s">
        <v>35</v>
      </c>
      <c r="H17" s="12" t="s">
        <v>36</v>
      </c>
      <c r="I17" s="11" t="s">
        <v>85</v>
      </c>
      <c r="J17" s="12" t="s">
        <v>86</v>
      </c>
      <c r="K17" s="13" t="s">
        <v>52</v>
      </c>
      <c r="L17" s="11" t="str">
        <f>"000058"</f>
        <v>000058</v>
      </c>
      <c r="M17" s="10">
        <v>43038</v>
      </c>
      <c r="N17" s="11" t="str">
        <f>"000035"</f>
        <v>000035</v>
      </c>
      <c r="O17" s="10">
        <v>43040</v>
      </c>
      <c r="P17" s="11" t="str">
        <f>"000043"</f>
        <v>000043</v>
      </c>
      <c r="Q17" s="10">
        <v>43040</v>
      </c>
      <c r="R17" s="11">
        <v>16</v>
      </c>
      <c r="S17" s="11" t="str">
        <f>"007708"</f>
        <v>007708</v>
      </c>
      <c r="T17" s="10">
        <v>43049</v>
      </c>
      <c r="U17" s="14">
        <v>17.16865</v>
      </c>
      <c r="V17" s="14">
        <v>0.70430000000000004</v>
      </c>
      <c r="W17" s="14">
        <v>16.46435</v>
      </c>
      <c r="X17" s="11">
        <v>43</v>
      </c>
      <c r="Y17" s="10">
        <v>43229</v>
      </c>
      <c r="Z17" s="11">
        <v>8022975812</v>
      </c>
      <c r="AA17" s="12" t="s">
        <v>72</v>
      </c>
      <c r="AB17" s="11" t="s">
        <v>63</v>
      </c>
      <c r="AC17" s="12" t="s">
        <v>64</v>
      </c>
      <c r="AD17" s="11" t="s">
        <v>43</v>
      </c>
      <c r="AE17" s="12" t="s">
        <v>44</v>
      </c>
      <c r="AF17" s="14">
        <v>0.17168649999999999</v>
      </c>
      <c r="AG17" s="11" t="s">
        <v>45</v>
      </c>
    </row>
    <row r="18" spans="1:33" x14ac:dyDescent="0.2">
      <c r="A18" s="8">
        <v>983</v>
      </c>
      <c r="B18" s="9" t="s">
        <v>59</v>
      </c>
      <c r="C18" s="10">
        <v>43229</v>
      </c>
      <c r="D18" s="11">
        <v>112</v>
      </c>
      <c r="E18" s="12" t="s">
        <v>34</v>
      </c>
      <c r="F18" s="12" t="s">
        <v>34</v>
      </c>
      <c r="G18" s="12" t="s">
        <v>35</v>
      </c>
      <c r="H18" s="12" t="s">
        <v>36</v>
      </c>
      <c r="I18" s="11" t="s">
        <v>87</v>
      </c>
      <c r="J18" s="12" t="s">
        <v>88</v>
      </c>
      <c r="K18" s="13" t="s">
        <v>75</v>
      </c>
      <c r="L18" s="11" t="str">
        <f>"000018"</f>
        <v>000018</v>
      </c>
      <c r="M18" s="10">
        <v>42934</v>
      </c>
      <c r="N18" s="11" t="str">
        <f>"000012"</f>
        <v>000012</v>
      </c>
      <c r="O18" s="10">
        <v>42935</v>
      </c>
      <c r="P18" s="11" t="str">
        <f>"000012"</f>
        <v>000012</v>
      </c>
      <c r="Q18" s="10">
        <v>42935</v>
      </c>
      <c r="R18" s="11">
        <v>16</v>
      </c>
      <c r="S18" s="11" t="str">
        <f>"004677"</f>
        <v>004677</v>
      </c>
      <c r="T18" s="10">
        <v>42956</v>
      </c>
      <c r="U18" s="14">
        <v>19.601510000000001</v>
      </c>
      <c r="V18" s="14">
        <v>1.0006999999999999</v>
      </c>
      <c r="W18" s="14">
        <v>18.600809999999999</v>
      </c>
      <c r="X18" s="11">
        <v>43</v>
      </c>
      <c r="Y18" s="10">
        <v>43229</v>
      </c>
      <c r="Z18" s="11">
        <v>8022975812</v>
      </c>
      <c r="AA18" s="12" t="s">
        <v>72</v>
      </c>
      <c r="AB18" s="11" t="s">
        <v>63</v>
      </c>
      <c r="AC18" s="12" t="s">
        <v>64</v>
      </c>
      <c r="AD18" s="11" t="s">
        <v>43</v>
      </c>
      <c r="AE18" s="12" t="s">
        <v>44</v>
      </c>
      <c r="AF18" s="14">
        <v>0.1960151</v>
      </c>
      <c r="AG18" s="11" t="s">
        <v>45</v>
      </c>
    </row>
    <row r="19" spans="1:33" x14ac:dyDescent="0.2">
      <c r="A19" s="8">
        <v>984</v>
      </c>
      <c r="B19" s="9" t="s">
        <v>59</v>
      </c>
      <c r="C19" s="10">
        <v>43229</v>
      </c>
      <c r="D19" s="11">
        <v>112</v>
      </c>
      <c r="E19" s="12" t="s">
        <v>34</v>
      </c>
      <c r="F19" s="12" t="s">
        <v>34</v>
      </c>
      <c r="G19" s="12" t="s">
        <v>35</v>
      </c>
      <c r="H19" s="12" t="s">
        <v>36</v>
      </c>
      <c r="I19" s="11" t="s">
        <v>89</v>
      </c>
      <c r="J19" s="12" t="s">
        <v>90</v>
      </c>
      <c r="K19" s="13" t="s">
        <v>52</v>
      </c>
      <c r="L19" s="11" t="str">
        <f>"000048"</f>
        <v>000048</v>
      </c>
      <c r="M19" s="10">
        <v>43038</v>
      </c>
      <c r="N19" s="11" t="str">
        <f>"000025"</f>
        <v>000025</v>
      </c>
      <c r="O19" s="10">
        <v>43040</v>
      </c>
      <c r="P19" s="11" t="str">
        <f>"000034"</f>
        <v>000034</v>
      </c>
      <c r="Q19" s="10">
        <v>43040</v>
      </c>
      <c r="R19" s="11">
        <v>16</v>
      </c>
      <c r="S19" s="11" t="str">
        <f>"007702"</f>
        <v>007702</v>
      </c>
      <c r="T19" s="10">
        <v>43049</v>
      </c>
      <c r="U19" s="14">
        <v>3.2095799999999999</v>
      </c>
      <c r="V19" s="14">
        <v>0.13555</v>
      </c>
      <c r="W19" s="14">
        <v>3.07403</v>
      </c>
      <c r="X19" s="11">
        <v>43</v>
      </c>
      <c r="Y19" s="10">
        <v>43229</v>
      </c>
      <c r="Z19" s="11">
        <v>8022975812</v>
      </c>
      <c r="AA19" s="12" t="s">
        <v>72</v>
      </c>
      <c r="AB19" s="11" t="s">
        <v>63</v>
      </c>
      <c r="AC19" s="12" t="s">
        <v>64</v>
      </c>
      <c r="AD19" s="11" t="s">
        <v>43</v>
      </c>
      <c r="AE19" s="12" t="s">
        <v>44</v>
      </c>
      <c r="AF19" s="14">
        <v>3.2095800000000001E-2</v>
      </c>
      <c r="AG19" s="11" t="s">
        <v>45</v>
      </c>
    </row>
    <row r="20" spans="1:33" x14ac:dyDescent="0.2">
      <c r="A20" s="8">
        <v>985</v>
      </c>
      <c r="B20" s="9" t="s">
        <v>59</v>
      </c>
      <c r="C20" s="10">
        <v>43229</v>
      </c>
      <c r="D20" s="11">
        <v>112</v>
      </c>
      <c r="E20" s="12" t="s">
        <v>34</v>
      </c>
      <c r="F20" s="12" t="s">
        <v>34</v>
      </c>
      <c r="G20" s="12" t="s">
        <v>35</v>
      </c>
      <c r="H20" s="12" t="s">
        <v>36</v>
      </c>
      <c r="I20" s="11" t="s">
        <v>91</v>
      </c>
      <c r="J20" s="12" t="s">
        <v>92</v>
      </c>
      <c r="K20" s="13" t="s">
        <v>39</v>
      </c>
      <c r="L20" s="11" t="str">
        <f>"000136"</f>
        <v>000136</v>
      </c>
      <c r="M20" s="10">
        <v>43181</v>
      </c>
      <c r="N20" s="11" t="str">
        <f>"000093"</f>
        <v>000093</v>
      </c>
      <c r="O20" s="10">
        <v>43182</v>
      </c>
      <c r="P20" s="11" t="str">
        <f>"000126"</f>
        <v>000126</v>
      </c>
      <c r="Q20" s="10">
        <v>43182</v>
      </c>
      <c r="R20" s="11">
        <v>16</v>
      </c>
      <c r="S20" s="11" t="str">
        <f>"001122"</f>
        <v>001122</v>
      </c>
      <c r="T20" s="10">
        <v>43227</v>
      </c>
      <c r="U20" s="14">
        <v>50.698740000000001</v>
      </c>
      <c r="V20" s="14">
        <v>2.5817000000000001</v>
      </c>
      <c r="W20" s="14">
        <v>48.117040000000003</v>
      </c>
      <c r="X20" s="11">
        <v>43</v>
      </c>
      <c r="Y20" s="10">
        <v>43229</v>
      </c>
      <c r="Z20" s="11">
        <v>8022975812</v>
      </c>
      <c r="AA20" s="12" t="s">
        <v>67</v>
      </c>
      <c r="AB20" s="11" t="s">
        <v>63</v>
      </c>
      <c r="AC20" s="12" t="s">
        <v>64</v>
      </c>
      <c r="AD20" s="11" t="s">
        <v>43</v>
      </c>
      <c r="AE20" s="12" t="s">
        <v>44</v>
      </c>
      <c r="AF20" s="14">
        <v>0.50698739999999998</v>
      </c>
      <c r="AG20" s="11" t="s">
        <v>45</v>
      </c>
    </row>
    <row r="21" spans="1:33" x14ac:dyDescent="0.2">
      <c r="A21" s="8">
        <v>986</v>
      </c>
      <c r="B21" s="9" t="s">
        <v>59</v>
      </c>
      <c r="C21" s="10">
        <v>43229</v>
      </c>
      <c r="D21" s="11">
        <v>112</v>
      </c>
      <c r="E21" s="12" t="s">
        <v>34</v>
      </c>
      <c r="F21" s="12" t="s">
        <v>34</v>
      </c>
      <c r="G21" s="12" t="s">
        <v>35</v>
      </c>
      <c r="H21" s="12" t="s">
        <v>36</v>
      </c>
      <c r="I21" s="11" t="s">
        <v>93</v>
      </c>
      <c r="J21" s="12" t="s">
        <v>94</v>
      </c>
      <c r="K21" s="13" t="s">
        <v>39</v>
      </c>
      <c r="L21" s="11" t="str">
        <f>"000145"</f>
        <v>000145</v>
      </c>
      <c r="M21" s="10">
        <v>43182</v>
      </c>
      <c r="N21" s="11" t="str">
        <f>"000014"</f>
        <v>000014</v>
      </c>
      <c r="O21" s="10">
        <v>43277</v>
      </c>
      <c r="P21" s="11" t="str">
        <f>"000018"</f>
        <v>000018</v>
      </c>
      <c r="Q21" s="10">
        <v>43277</v>
      </c>
      <c r="R21" s="11">
        <v>16</v>
      </c>
      <c r="S21" s="11" t="str">
        <f>""</f>
        <v/>
      </c>
      <c r="T21" s="10"/>
      <c r="U21" s="14">
        <v>6.9043999999999999</v>
      </c>
      <c r="V21" s="14">
        <v>0.28405000000000002</v>
      </c>
      <c r="W21" s="14">
        <v>6.6203500000000002</v>
      </c>
      <c r="X21" s="11">
        <v>43</v>
      </c>
      <c r="Y21" s="10">
        <v>43229</v>
      </c>
      <c r="Z21" s="11">
        <v>8022975812</v>
      </c>
      <c r="AA21" s="12" t="s">
        <v>95</v>
      </c>
      <c r="AB21" s="11" t="s">
        <v>63</v>
      </c>
      <c r="AC21" s="12" t="s">
        <v>64</v>
      </c>
      <c r="AD21" s="11" t="s">
        <v>43</v>
      </c>
      <c r="AE21" s="12" t="s">
        <v>44</v>
      </c>
      <c r="AF21" s="14">
        <v>6.9043999999999994E-2</v>
      </c>
      <c r="AG21" s="11" t="s">
        <v>96</v>
      </c>
    </row>
    <row r="22" spans="1:33" x14ac:dyDescent="0.2">
      <c r="A22" s="8">
        <v>987</v>
      </c>
      <c r="B22" s="9" t="s">
        <v>59</v>
      </c>
      <c r="C22" s="10">
        <v>43229</v>
      </c>
      <c r="D22" s="11">
        <v>112</v>
      </c>
      <c r="E22" s="12" t="s">
        <v>34</v>
      </c>
      <c r="F22" s="12" t="s">
        <v>34</v>
      </c>
      <c r="G22" s="12" t="s">
        <v>35</v>
      </c>
      <c r="H22" s="12" t="s">
        <v>36</v>
      </c>
      <c r="I22" s="11" t="s">
        <v>97</v>
      </c>
      <c r="J22" s="12" t="s">
        <v>98</v>
      </c>
      <c r="K22" s="13" t="s">
        <v>52</v>
      </c>
      <c r="L22" s="11" t="str">
        <f>"000146"</f>
        <v>000146</v>
      </c>
      <c r="M22" s="10">
        <v>43182</v>
      </c>
      <c r="N22" s="11" t="str">
        <f>"000107"</f>
        <v>000107</v>
      </c>
      <c r="O22" s="10">
        <v>43183</v>
      </c>
      <c r="P22" s="11" t="str">
        <f>"000136"</f>
        <v>000136</v>
      </c>
      <c r="Q22" s="10">
        <v>43183</v>
      </c>
      <c r="R22" s="11">
        <v>16</v>
      </c>
      <c r="S22" s="11" t="str">
        <f>"001124"</f>
        <v>001124</v>
      </c>
      <c r="T22" s="10">
        <v>43227</v>
      </c>
      <c r="U22" s="14">
        <v>18.9054</v>
      </c>
      <c r="V22" s="14">
        <v>0.96414999999999995</v>
      </c>
      <c r="W22" s="14">
        <v>17.94125</v>
      </c>
      <c r="X22" s="11">
        <v>43</v>
      </c>
      <c r="Y22" s="10">
        <v>43229</v>
      </c>
      <c r="Z22" s="11">
        <v>8022975812</v>
      </c>
      <c r="AA22" s="12" t="s">
        <v>67</v>
      </c>
      <c r="AB22" s="11" t="s">
        <v>63</v>
      </c>
      <c r="AC22" s="12" t="s">
        <v>64</v>
      </c>
      <c r="AD22" s="11" t="s">
        <v>43</v>
      </c>
      <c r="AE22" s="12" t="s">
        <v>44</v>
      </c>
      <c r="AF22" s="14">
        <v>0.189054</v>
      </c>
      <c r="AG22" s="11" t="s">
        <v>45</v>
      </c>
    </row>
    <row r="23" spans="1:33" x14ac:dyDescent="0.2">
      <c r="A23" s="8">
        <v>988</v>
      </c>
      <c r="B23" s="9" t="s">
        <v>59</v>
      </c>
      <c r="C23" s="10">
        <v>43229</v>
      </c>
      <c r="D23" s="11">
        <v>112</v>
      </c>
      <c r="E23" s="12" t="s">
        <v>34</v>
      </c>
      <c r="F23" s="12" t="s">
        <v>34</v>
      </c>
      <c r="G23" s="12" t="s">
        <v>35</v>
      </c>
      <c r="H23" s="12" t="s">
        <v>36</v>
      </c>
      <c r="I23" s="11" t="s">
        <v>99</v>
      </c>
      <c r="J23" s="12" t="s">
        <v>100</v>
      </c>
      <c r="K23" s="13" t="s">
        <v>39</v>
      </c>
      <c r="L23" s="11" t="str">
        <f>"000139"</f>
        <v>000139</v>
      </c>
      <c r="M23" s="10">
        <v>43181</v>
      </c>
      <c r="N23" s="11" t="str">
        <f>"000011"</f>
        <v>000011</v>
      </c>
      <c r="O23" s="10">
        <v>43277</v>
      </c>
      <c r="P23" s="11" t="str">
        <f>"000015"</f>
        <v>000015</v>
      </c>
      <c r="Q23" s="10">
        <v>43277</v>
      </c>
      <c r="R23" s="11">
        <v>16</v>
      </c>
      <c r="S23" s="11" t="str">
        <f>""</f>
        <v/>
      </c>
      <c r="T23" s="10"/>
      <c r="U23" s="14">
        <v>14.012029999999999</v>
      </c>
      <c r="V23" s="14">
        <v>0.57545000000000002</v>
      </c>
      <c r="W23" s="14">
        <v>13.436579999999999</v>
      </c>
      <c r="X23" s="11">
        <v>43</v>
      </c>
      <c r="Y23" s="10">
        <v>43229</v>
      </c>
      <c r="Z23" s="11">
        <v>8022975812</v>
      </c>
      <c r="AA23" s="12" t="s">
        <v>72</v>
      </c>
      <c r="AB23" s="11" t="s">
        <v>63</v>
      </c>
      <c r="AC23" s="12" t="s">
        <v>64</v>
      </c>
      <c r="AD23" s="11" t="s">
        <v>43</v>
      </c>
      <c r="AE23" s="12" t="s">
        <v>44</v>
      </c>
      <c r="AF23" s="14">
        <v>0.1401203</v>
      </c>
      <c r="AG23" s="11" t="s">
        <v>96</v>
      </c>
    </row>
    <row r="24" spans="1:33" x14ac:dyDescent="0.2">
      <c r="A24" s="8">
        <v>989</v>
      </c>
      <c r="B24" s="9" t="s">
        <v>59</v>
      </c>
      <c r="C24" s="10">
        <v>43229</v>
      </c>
      <c r="D24" s="11">
        <v>112</v>
      </c>
      <c r="E24" s="12" t="s">
        <v>34</v>
      </c>
      <c r="F24" s="12" t="s">
        <v>34</v>
      </c>
      <c r="G24" s="12" t="s">
        <v>35</v>
      </c>
      <c r="H24" s="12" t="s">
        <v>36</v>
      </c>
      <c r="I24" s="11" t="s">
        <v>101</v>
      </c>
      <c r="J24" s="12" t="s">
        <v>102</v>
      </c>
      <c r="K24" s="13" t="s">
        <v>52</v>
      </c>
      <c r="L24" s="11" t="str">
        <f>"000143"</f>
        <v>000143</v>
      </c>
      <c r="M24" s="10">
        <v>43182</v>
      </c>
      <c r="N24" s="11" t="str">
        <f>"000104"</f>
        <v>000104</v>
      </c>
      <c r="O24" s="10">
        <v>43183</v>
      </c>
      <c r="P24" s="11" t="str">
        <f>"000138"</f>
        <v>000138</v>
      </c>
      <c r="Q24" s="10">
        <v>43183</v>
      </c>
      <c r="R24" s="11">
        <v>16</v>
      </c>
      <c r="S24" s="11" t="str">
        <f>"001126"</f>
        <v>001126</v>
      </c>
      <c r="T24" s="10">
        <v>43227</v>
      </c>
      <c r="U24" s="14">
        <v>17.988189999999999</v>
      </c>
      <c r="V24" s="14">
        <v>0.73670000000000002</v>
      </c>
      <c r="W24" s="14">
        <v>17.25149</v>
      </c>
      <c r="X24" s="11">
        <v>43</v>
      </c>
      <c r="Y24" s="10">
        <v>43229</v>
      </c>
      <c r="Z24" s="11">
        <v>8022975812</v>
      </c>
      <c r="AA24" s="12" t="s">
        <v>95</v>
      </c>
      <c r="AB24" s="11" t="s">
        <v>63</v>
      </c>
      <c r="AC24" s="12" t="s">
        <v>64</v>
      </c>
      <c r="AD24" s="11" t="s">
        <v>43</v>
      </c>
      <c r="AE24" s="12" t="s">
        <v>44</v>
      </c>
      <c r="AF24" s="14">
        <v>0.17988189999999998</v>
      </c>
      <c r="AG24" s="11" t="s">
        <v>45</v>
      </c>
    </row>
    <row r="25" spans="1:33" x14ac:dyDescent="0.2">
      <c r="A25" s="8">
        <v>990</v>
      </c>
      <c r="B25" s="9" t="s">
        <v>59</v>
      </c>
      <c r="C25" s="10">
        <v>43229</v>
      </c>
      <c r="D25" s="11">
        <v>112</v>
      </c>
      <c r="E25" s="12" t="s">
        <v>34</v>
      </c>
      <c r="F25" s="12" t="s">
        <v>34</v>
      </c>
      <c r="G25" s="12" t="s">
        <v>35</v>
      </c>
      <c r="H25" s="12" t="s">
        <v>36</v>
      </c>
      <c r="I25" s="11" t="s">
        <v>37</v>
      </c>
      <c r="J25" s="12" t="s">
        <v>38</v>
      </c>
      <c r="K25" s="13" t="s">
        <v>39</v>
      </c>
      <c r="L25" s="11" t="str">
        <f>"000084"</f>
        <v>000084</v>
      </c>
      <c r="M25" s="10">
        <v>43087</v>
      </c>
      <c r="N25" s="11" t="str">
        <f>"000056"</f>
        <v>000056</v>
      </c>
      <c r="O25" s="10">
        <v>43087</v>
      </c>
      <c r="P25" s="11" t="str">
        <f>"000074"</f>
        <v>000074</v>
      </c>
      <c r="Q25" s="10">
        <v>43087</v>
      </c>
      <c r="R25" s="11">
        <v>17</v>
      </c>
      <c r="S25" s="11" t="str">
        <f>"008779"</f>
        <v>008779</v>
      </c>
      <c r="T25" s="10">
        <v>43098</v>
      </c>
      <c r="U25" s="14">
        <v>208.19176999999999</v>
      </c>
      <c r="V25" s="14">
        <v>6.4520999999999997</v>
      </c>
      <c r="W25" s="14">
        <v>201.73966999999999</v>
      </c>
      <c r="X25" s="11">
        <v>43</v>
      </c>
      <c r="Y25" s="10">
        <v>43229</v>
      </c>
      <c r="Z25" s="11">
        <v>8022975812</v>
      </c>
      <c r="AA25" s="12" t="s">
        <v>40</v>
      </c>
      <c r="AB25" s="11" t="s">
        <v>41</v>
      </c>
      <c r="AC25" s="12" t="s">
        <v>42</v>
      </c>
      <c r="AD25" s="11" t="s">
        <v>43</v>
      </c>
      <c r="AE25" s="12" t="s">
        <v>44</v>
      </c>
      <c r="AF25" s="14">
        <v>2.0819177</v>
      </c>
      <c r="AG25" s="11" t="s">
        <v>45</v>
      </c>
    </row>
    <row r="26" spans="1:33" x14ac:dyDescent="0.2">
      <c r="A26" s="8">
        <v>1654</v>
      </c>
      <c r="B26" s="9" t="s">
        <v>103</v>
      </c>
      <c r="C26" s="10">
        <v>43252</v>
      </c>
      <c r="D26" s="11">
        <v>112</v>
      </c>
      <c r="E26" s="12" t="s">
        <v>34</v>
      </c>
      <c r="F26" s="12" t="s">
        <v>34</v>
      </c>
      <c r="G26" s="12" t="s">
        <v>35</v>
      </c>
      <c r="H26" s="12" t="s">
        <v>36</v>
      </c>
      <c r="I26" s="11" t="s">
        <v>104</v>
      </c>
      <c r="J26" s="12" t="s">
        <v>105</v>
      </c>
      <c r="K26" s="13" t="s">
        <v>106</v>
      </c>
      <c r="L26" s="11" t="str">
        <f>"000054"</f>
        <v>000054</v>
      </c>
      <c r="M26" s="10">
        <v>42440</v>
      </c>
      <c r="N26" s="11" t="str">
        <f>"000099"</f>
        <v>000099</v>
      </c>
      <c r="O26" s="10">
        <v>42810</v>
      </c>
      <c r="P26" s="11" t="str">
        <f>"000510"</f>
        <v>000510</v>
      </c>
      <c r="Q26" s="10">
        <v>42810</v>
      </c>
      <c r="R26" s="11">
        <v>16</v>
      </c>
      <c r="S26" s="11" t="str">
        <f>"001862"</f>
        <v>001862</v>
      </c>
      <c r="T26" s="10">
        <v>43245</v>
      </c>
      <c r="U26" s="14">
        <v>19.959199999999999</v>
      </c>
      <c r="V26" s="14">
        <v>2.9661300000000002</v>
      </c>
      <c r="W26" s="14">
        <v>16.993069999999999</v>
      </c>
      <c r="X26" s="11">
        <v>65</v>
      </c>
      <c r="Y26" s="10">
        <v>43252</v>
      </c>
      <c r="Z26" s="11">
        <v>9845524294</v>
      </c>
      <c r="AA26" s="12" t="s">
        <v>107</v>
      </c>
      <c r="AB26" s="11" t="s">
        <v>108</v>
      </c>
      <c r="AC26" s="12" t="s">
        <v>109</v>
      </c>
      <c r="AD26" s="11" t="s">
        <v>110</v>
      </c>
      <c r="AE26" s="12" t="s">
        <v>111</v>
      </c>
      <c r="AF26" s="14">
        <v>0.19959199999999999</v>
      </c>
      <c r="AG26" s="11" t="s">
        <v>45</v>
      </c>
    </row>
    <row r="27" spans="1:33" x14ac:dyDescent="0.2">
      <c r="A27" s="8">
        <v>1655</v>
      </c>
      <c r="B27" s="9" t="s">
        <v>103</v>
      </c>
      <c r="C27" s="10">
        <v>43252</v>
      </c>
      <c r="D27" s="11">
        <v>112</v>
      </c>
      <c r="E27" s="12" t="s">
        <v>34</v>
      </c>
      <c r="F27" s="12" t="s">
        <v>34</v>
      </c>
      <c r="G27" s="12" t="s">
        <v>35</v>
      </c>
      <c r="H27" s="12" t="s">
        <v>36</v>
      </c>
      <c r="I27" s="11" t="s">
        <v>112</v>
      </c>
      <c r="J27" s="12" t="s">
        <v>113</v>
      </c>
      <c r="K27" s="13" t="s">
        <v>75</v>
      </c>
      <c r="L27" s="11" t="str">
        <f>"000056"</f>
        <v>000056</v>
      </c>
      <c r="M27" s="10">
        <v>42440</v>
      </c>
      <c r="N27" s="11" t="str">
        <f>"000.84"</f>
        <v>000.84</v>
      </c>
      <c r="O27" s="10">
        <v>42810</v>
      </c>
      <c r="P27" s="11" t="str">
        <f>"000540"</f>
        <v>000540</v>
      </c>
      <c r="Q27" s="10">
        <v>42810</v>
      </c>
      <c r="R27" s="11">
        <v>16</v>
      </c>
      <c r="S27" s="11" t="str">
        <f>"001863"</f>
        <v>001863</v>
      </c>
      <c r="T27" s="10">
        <v>43245</v>
      </c>
      <c r="U27" s="14">
        <v>9.9505999999999997</v>
      </c>
      <c r="V27" s="14">
        <v>1.48993</v>
      </c>
      <c r="W27" s="14">
        <v>8.4606700000000004</v>
      </c>
      <c r="X27" s="11">
        <v>65</v>
      </c>
      <c r="Y27" s="10">
        <v>43252</v>
      </c>
      <c r="Z27" s="11">
        <v>9845524294</v>
      </c>
      <c r="AA27" s="12" t="s">
        <v>107</v>
      </c>
      <c r="AB27" s="11" t="s">
        <v>108</v>
      </c>
      <c r="AC27" s="12" t="s">
        <v>109</v>
      </c>
      <c r="AD27" s="11" t="s">
        <v>110</v>
      </c>
      <c r="AE27" s="12" t="s">
        <v>111</v>
      </c>
      <c r="AF27" s="14">
        <v>9.9505999999999997E-2</v>
      </c>
      <c r="AG27" s="11" t="s">
        <v>45</v>
      </c>
    </row>
    <row r="28" spans="1:33" x14ac:dyDescent="0.2">
      <c r="A28" s="8">
        <v>1656</v>
      </c>
      <c r="B28" s="9" t="s">
        <v>103</v>
      </c>
      <c r="C28" s="10">
        <v>43252</v>
      </c>
      <c r="D28" s="11">
        <v>112</v>
      </c>
      <c r="E28" s="12" t="s">
        <v>34</v>
      </c>
      <c r="F28" s="12" t="s">
        <v>34</v>
      </c>
      <c r="G28" s="12" t="s">
        <v>35</v>
      </c>
      <c r="H28" s="12" t="s">
        <v>36</v>
      </c>
      <c r="I28" s="11" t="s">
        <v>114</v>
      </c>
      <c r="J28" s="12" t="s">
        <v>115</v>
      </c>
      <c r="K28" s="13" t="s">
        <v>106</v>
      </c>
      <c r="L28" s="11" t="str">
        <f>"000052"</f>
        <v>000052</v>
      </c>
      <c r="M28" s="10">
        <v>42440</v>
      </c>
      <c r="N28" s="11" t="str">
        <f>"000102"</f>
        <v>000102</v>
      </c>
      <c r="O28" s="10">
        <v>42810</v>
      </c>
      <c r="P28" s="11" t="str">
        <f>"000690"</f>
        <v>000690</v>
      </c>
      <c r="Q28" s="10">
        <v>42810</v>
      </c>
      <c r="R28" s="11">
        <v>16</v>
      </c>
      <c r="S28" s="11" t="str">
        <f>"001864"</f>
        <v>001864</v>
      </c>
      <c r="T28" s="10">
        <v>43245</v>
      </c>
      <c r="U28" s="14">
        <v>19.990950000000002</v>
      </c>
      <c r="V28" s="14">
        <v>2.9430200000000002</v>
      </c>
      <c r="W28" s="14">
        <v>17.047930000000001</v>
      </c>
      <c r="X28" s="11">
        <v>65</v>
      </c>
      <c r="Y28" s="10">
        <v>43252</v>
      </c>
      <c r="Z28" s="11">
        <v>9845524294</v>
      </c>
      <c r="AA28" s="12" t="s">
        <v>107</v>
      </c>
      <c r="AB28" s="11" t="s">
        <v>108</v>
      </c>
      <c r="AC28" s="12" t="s">
        <v>109</v>
      </c>
      <c r="AD28" s="11" t="s">
        <v>110</v>
      </c>
      <c r="AE28" s="12" t="s">
        <v>111</v>
      </c>
      <c r="AF28" s="14">
        <v>0.19990950000000002</v>
      </c>
      <c r="AG28" s="11" t="s">
        <v>45</v>
      </c>
    </row>
    <row r="29" spans="1:33" x14ac:dyDescent="0.2">
      <c r="A29" s="8">
        <v>1657</v>
      </c>
      <c r="B29" s="9" t="s">
        <v>103</v>
      </c>
      <c r="C29" s="10">
        <v>43252</v>
      </c>
      <c r="D29" s="11">
        <v>112</v>
      </c>
      <c r="E29" s="12" t="s">
        <v>34</v>
      </c>
      <c r="F29" s="12" t="s">
        <v>34</v>
      </c>
      <c r="G29" s="12" t="s">
        <v>35</v>
      </c>
      <c r="H29" s="12" t="s">
        <v>36</v>
      </c>
      <c r="I29" s="11" t="s">
        <v>116</v>
      </c>
      <c r="J29" s="12" t="s">
        <v>117</v>
      </c>
      <c r="K29" s="13" t="s">
        <v>106</v>
      </c>
      <c r="L29" s="11" t="str">
        <f>"000048"</f>
        <v>000048</v>
      </c>
      <c r="M29" s="10">
        <v>42440</v>
      </c>
      <c r="N29" s="11" t="str">
        <f>"000101"</f>
        <v>000101</v>
      </c>
      <c r="O29" s="10">
        <v>42810</v>
      </c>
      <c r="P29" s="11" t="str">
        <f>"000691"</f>
        <v>000691</v>
      </c>
      <c r="Q29" s="10">
        <v>42810</v>
      </c>
      <c r="R29" s="11">
        <v>16</v>
      </c>
      <c r="S29" s="11" t="str">
        <f>"001865"</f>
        <v>001865</v>
      </c>
      <c r="T29" s="10">
        <v>43245</v>
      </c>
      <c r="U29" s="14">
        <v>14.99245</v>
      </c>
      <c r="V29" s="14">
        <v>2.2202000000000002</v>
      </c>
      <c r="W29" s="14">
        <v>12.77225</v>
      </c>
      <c r="X29" s="11">
        <v>65</v>
      </c>
      <c r="Y29" s="10">
        <v>43252</v>
      </c>
      <c r="Z29" s="11">
        <v>9845524294</v>
      </c>
      <c r="AA29" s="12" t="s">
        <v>107</v>
      </c>
      <c r="AB29" s="11" t="s">
        <v>108</v>
      </c>
      <c r="AC29" s="12" t="s">
        <v>109</v>
      </c>
      <c r="AD29" s="11" t="s">
        <v>110</v>
      </c>
      <c r="AE29" s="12" t="s">
        <v>111</v>
      </c>
      <c r="AF29" s="14">
        <v>0.14992449999999999</v>
      </c>
      <c r="AG29" s="11" t="s">
        <v>45</v>
      </c>
    </row>
    <row r="30" spans="1:33" x14ac:dyDescent="0.2">
      <c r="A30" s="8">
        <v>1658</v>
      </c>
      <c r="B30" s="9" t="s">
        <v>103</v>
      </c>
      <c r="C30" s="10">
        <v>43252</v>
      </c>
      <c r="D30" s="11">
        <v>112</v>
      </c>
      <c r="E30" s="12" t="s">
        <v>34</v>
      </c>
      <c r="F30" s="12" t="s">
        <v>34</v>
      </c>
      <c r="G30" s="12" t="s">
        <v>35</v>
      </c>
      <c r="H30" s="12" t="s">
        <v>36</v>
      </c>
      <c r="I30" s="11" t="s">
        <v>118</v>
      </c>
      <c r="J30" s="12" t="s">
        <v>119</v>
      </c>
      <c r="K30" s="13" t="s">
        <v>106</v>
      </c>
      <c r="L30" s="11" t="str">
        <f>"000058"</f>
        <v>000058</v>
      </c>
      <c r="M30" s="10">
        <v>42440</v>
      </c>
      <c r="N30" s="11" t="str">
        <f>"000098"</f>
        <v>000098</v>
      </c>
      <c r="O30" s="10">
        <v>42810</v>
      </c>
      <c r="P30" s="11" t="str">
        <f>"000692"</f>
        <v>000692</v>
      </c>
      <c r="Q30" s="10">
        <v>42810</v>
      </c>
      <c r="R30" s="11">
        <v>16</v>
      </c>
      <c r="S30" s="11" t="str">
        <f>"001866"</f>
        <v>001866</v>
      </c>
      <c r="T30" s="10">
        <v>43245</v>
      </c>
      <c r="U30" s="14">
        <v>19.98685</v>
      </c>
      <c r="V30" s="14">
        <v>2.9624799999999998</v>
      </c>
      <c r="W30" s="14">
        <v>17.024370000000001</v>
      </c>
      <c r="X30" s="11">
        <v>65</v>
      </c>
      <c r="Y30" s="10">
        <v>43252</v>
      </c>
      <c r="Z30" s="11">
        <v>9845524294</v>
      </c>
      <c r="AA30" s="12" t="s">
        <v>107</v>
      </c>
      <c r="AB30" s="11" t="s">
        <v>108</v>
      </c>
      <c r="AC30" s="12" t="s">
        <v>109</v>
      </c>
      <c r="AD30" s="11" t="s">
        <v>110</v>
      </c>
      <c r="AE30" s="12" t="s">
        <v>111</v>
      </c>
      <c r="AF30" s="14">
        <v>0.1998685</v>
      </c>
      <c r="AG30" s="11" t="s">
        <v>45</v>
      </c>
    </row>
    <row r="31" spans="1:33" x14ac:dyDescent="0.2">
      <c r="A31" s="8">
        <v>1659</v>
      </c>
      <c r="B31" s="9" t="s">
        <v>103</v>
      </c>
      <c r="C31" s="10">
        <v>43252</v>
      </c>
      <c r="D31" s="11">
        <v>112</v>
      </c>
      <c r="E31" s="12" t="s">
        <v>34</v>
      </c>
      <c r="F31" s="12" t="s">
        <v>34</v>
      </c>
      <c r="G31" s="12" t="s">
        <v>35</v>
      </c>
      <c r="H31" s="12" t="s">
        <v>36</v>
      </c>
      <c r="I31" s="11" t="s">
        <v>120</v>
      </c>
      <c r="J31" s="12" t="s">
        <v>121</v>
      </c>
      <c r="K31" s="13" t="s">
        <v>106</v>
      </c>
      <c r="L31" s="11" t="str">
        <f>"000045"</f>
        <v>000045</v>
      </c>
      <c r="M31" s="10">
        <v>42440</v>
      </c>
      <c r="N31" s="11" t="str">
        <f>"000100"</f>
        <v>000100</v>
      </c>
      <c r="O31" s="10">
        <v>42810</v>
      </c>
      <c r="P31" s="11" t="str">
        <f>"000693"</f>
        <v>000693</v>
      </c>
      <c r="Q31" s="10">
        <v>42810</v>
      </c>
      <c r="R31" s="11">
        <v>16</v>
      </c>
      <c r="S31" s="11" t="str">
        <f>"001867"</f>
        <v>001867</v>
      </c>
      <c r="T31" s="10">
        <v>43245</v>
      </c>
      <c r="U31" s="14">
        <v>19.988900000000001</v>
      </c>
      <c r="V31" s="14">
        <v>2.9677500000000001</v>
      </c>
      <c r="W31" s="14">
        <v>17.021149999999999</v>
      </c>
      <c r="X31" s="11">
        <v>65</v>
      </c>
      <c r="Y31" s="10">
        <v>43252</v>
      </c>
      <c r="Z31" s="11">
        <v>9845524294</v>
      </c>
      <c r="AA31" s="12" t="s">
        <v>107</v>
      </c>
      <c r="AB31" s="11" t="s">
        <v>108</v>
      </c>
      <c r="AC31" s="12" t="s">
        <v>109</v>
      </c>
      <c r="AD31" s="11" t="s">
        <v>110</v>
      </c>
      <c r="AE31" s="12" t="s">
        <v>111</v>
      </c>
      <c r="AF31" s="14">
        <v>0.19988900000000001</v>
      </c>
      <c r="AG31" s="11" t="s">
        <v>45</v>
      </c>
    </row>
    <row r="32" spans="1:33" x14ac:dyDescent="0.2">
      <c r="A32" s="8">
        <v>1660</v>
      </c>
      <c r="B32" s="9" t="s">
        <v>103</v>
      </c>
      <c r="C32" s="10">
        <v>43252</v>
      </c>
      <c r="D32" s="11">
        <v>112</v>
      </c>
      <c r="E32" s="12" t="s">
        <v>34</v>
      </c>
      <c r="F32" s="12" t="s">
        <v>34</v>
      </c>
      <c r="G32" s="12" t="s">
        <v>35</v>
      </c>
      <c r="H32" s="12" t="s">
        <v>36</v>
      </c>
      <c r="I32" s="11" t="s">
        <v>122</v>
      </c>
      <c r="J32" s="12" t="s">
        <v>123</v>
      </c>
      <c r="K32" s="13" t="s">
        <v>106</v>
      </c>
      <c r="L32" s="11" t="str">
        <f>"000047"</f>
        <v>000047</v>
      </c>
      <c r="M32" s="10">
        <v>42440</v>
      </c>
      <c r="N32" s="11" t="str">
        <f>"000 94"</f>
        <v>000 94</v>
      </c>
      <c r="O32" s="10">
        <v>42810</v>
      </c>
      <c r="P32" s="11" t="str">
        <f>"000695"</f>
        <v>000695</v>
      </c>
      <c r="Q32" s="10">
        <v>42810</v>
      </c>
      <c r="R32" s="11">
        <v>16</v>
      </c>
      <c r="S32" s="11" t="str">
        <f>"001868"</f>
        <v>001868</v>
      </c>
      <c r="T32" s="10">
        <v>43245</v>
      </c>
      <c r="U32" s="14">
        <v>19.992100000000001</v>
      </c>
      <c r="V32" s="14">
        <v>2.94319</v>
      </c>
      <c r="W32" s="14">
        <v>17.048909999999999</v>
      </c>
      <c r="X32" s="11">
        <v>65</v>
      </c>
      <c r="Y32" s="10">
        <v>43252</v>
      </c>
      <c r="Z32" s="11">
        <v>9845524294</v>
      </c>
      <c r="AA32" s="12" t="s">
        <v>107</v>
      </c>
      <c r="AB32" s="11" t="s">
        <v>108</v>
      </c>
      <c r="AC32" s="12" t="s">
        <v>109</v>
      </c>
      <c r="AD32" s="11" t="s">
        <v>110</v>
      </c>
      <c r="AE32" s="12" t="s">
        <v>111</v>
      </c>
      <c r="AF32" s="14">
        <v>0.19992100000000002</v>
      </c>
      <c r="AG32" s="11" t="s">
        <v>45</v>
      </c>
    </row>
    <row r="33" spans="1:33" x14ac:dyDescent="0.2">
      <c r="A33" s="8">
        <v>1661</v>
      </c>
      <c r="B33" s="9" t="s">
        <v>103</v>
      </c>
      <c r="C33" s="10">
        <v>43252</v>
      </c>
      <c r="D33" s="11">
        <v>112</v>
      </c>
      <c r="E33" s="12" t="s">
        <v>34</v>
      </c>
      <c r="F33" s="12" t="s">
        <v>34</v>
      </c>
      <c r="G33" s="12" t="s">
        <v>35</v>
      </c>
      <c r="H33" s="12" t="s">
        <v>36</v>
      </c>
      <c r="I33" s="11" t="s">
        <v>124</v>
      </c>
      <c r="J33" s="12" t="s">
        <v>125</v>
      </c>
      <c r="K33" s="13" t="s">
        <v>106</v>
      </c>
      <c r="L33" s="11" t="str">
        <f>"000057"</f>
        <v>000057</v>
      </c>
      <c r="M33" s="10">
        <v>42440</v>
      </c>
      <c r="N33" s="11" t="str">
        <f>"000197"</f>
        <v>000197</v>
      </c>
      <c r="O33" s="10">
        <v>42810</v>
      </c>
      <c r="P33" s="11" t="str">
        <f>"000649"</f>
        <v>000649</v>
      </c>
      <c r="Q33" s="10">
        <v>42824</v>
      </c>
      <c r="R33" s="11">
        <v>16</v>
      </c>
      <c r="S33" s="11" t="str">
        <f>"001877"</f>
        <v>001877</v>
      </c>
      <c r="T33" s="10">
        <v>43245</v>
      </c>
      <c r="U33" s="14">
        <v>9.9887999999999995</v>
      </c>
      <c r="V33" s="14">
        <v>1.50471</v>
      </c>
      <c r="W33" s="14">
        <v>8.4840900000000001</v>
      </c>
      <c r="X33" s="11">
        <v>65</v>
      </c>
      <c r="Y33" s="10">
        <v>43252</v>
      </c>
      <c r="Z33" s="11">
        <v>9845524294</v>
      </c>
      <c r="AA33" s="12" t="s">
        <v>107</v>
      </c>
      <c r="AB33" s="11" t="s">
        <v>108</v>
      </c>
      <c r="AC33" s="12" t="s">
        <v>109</v>
      </c>
      <c r="AD33" s="11" t="s">
        <v>110</v>
      </c>
      <c r="AE33" s="12" t="s">
        <v>111</v>
      </c>
      <c r="AF33" s="14">
        <v>9.9887999999999991E-2</v>
      </c>
      <c r="AG33" s="11" t="s">
        <v>45</v>
      </c>
    </row>
    <row r="34" spans="1:33" x14ac:dyDescent="0.2">
      <c r="A34" s="8">
        <v>1856</v>
      </c>
      <c r="B34" s="9" t="s">
        <v>103</v>
      </c>
      <c r="C34" s="10">
        <v>43257</v>
      </c>
      <c r="D34" s="11">
        <v>112</v>
      </c>
      <c r="E34" s="12" t="s">
        <v>34</v>
      </c>
      <c r="F34" s="12" t="s">
        <v>34</v>
      </c>
      <c r="G34" s="12" t="s">
        <v>35</v>
      </c>
      <c r="H34" s="12" t="s">
        <v>36</v>
      </c>
      <c r="I34" s="11" t="s">
        <v>126</v>
      </c>
      <c r="J34" s="12" t="s">
        <v>127</v>
      </c>
      <c r="K34" s="13" t="s">
        <v>75</v>
      </c>
      <c r="L34" s="11" t="str">
        <f>"000057"</f>
        <v>000057</v>
      </c>
      <c r="M34" s="10">
        <v>42433</v>
      </c>
      <c r="N34" s="11" t="str">
        <f>"000091"</f>
        <v>000091</v>
      </c>
      <c r="O34" s="10">
        <v>42629</v>
      </c>
      <c r="P34" s="11" t="str">
        <f>"000112"</f>
        <v>000112</v>
      </c>
      <c r="Q34" s="10">
        <v>42629</v>
      </c>
      <c r="R34" s="11">
        <v>16</v>
      </c>
      <c r="S34" s="11" t="str">
        <f>"002163"</f>
        <v>002163</v>
      </c>
      <c r="T34" s="10">
        <v>43255</v>
      </c>
      <c r="U34" s="14">
        <v>9.1136599999999994</v>
      </c>
      <c r="V34" s="14">
        <v>0.64190000000000003</v>
      </c>
      <c r="W34" s="14">
        <v>8.4717599999999997</v>
      </c>
      <c r="X34" s="11">
        <v>71</v>
      </c>
      <c r="Y34" s="10">
        <v>43257</v>
      </c>
      <c r="Z34" s="11">
        <v>8022975812</v>
      </c>
      <c r="AA34" s="12" t="s">
        <v>128</v>
      </c>
      <c r="AB34" s="11" t="s">
        <v>129</v>
      </c>
      <c r="AC34" s="12" t="s">
        <v>130</v>
      </c>
      <c r="AD34" s="11" t="s">
        <v>43</v>
      </c>
      <c r="AE34" s="12" t="s">
        <v>44</v>
      </c>
      <c r="AF34" s="14">
        <v>9.1136599999999998E-2</v>
      </c>
      <c r="AG34" s="11" t="s">
        <v>45</v>
      </c>
    </row>
    <row r="35" spans="1:33" x14ac:dyDescent="0.2">
      <c r="A35" s="8">
        <v>2344</v>
      </c>
      <c r="B35" s="9" t="s">
        <v>103</v>
      </c>
      <c r="C35" s="10">
        <v>43269</v>
      </c>
      <c r="D35" s="11">
        <v>112</v>
      </c>
      <c r="E35" s="12" t="s">
        <v>34</v>
      </c>
      <c r="F35" s="12" t="s">
        <v>34</v>
      </c>
      <c r="G35" s="12" t="s">
        <v>35</v>
      </c>
      <c r="H35" s="12" t="s">
        <v>36</v>
      </c>
      <c r="I35" s="11" t="s">
        <v>131</v>
      </c>
      <c r="J35" s="12" t="s">
        <v>132</v>
      </c>
      <c r="K35" s="13" t="s">
        <v>75</v>
      </c>
      <c r="L35" s="11" t="str">
        <f>"000026"</f>
        <v>000026</v>
      </c>
      <c r="M35" s="10">
        <v>42809</v>
      </c>
      <c r="N35" s="11" t="str">
        <f>"000094"</f>
        <v>000094</v>
      </c>
      <c r="O35" s="10">
        <v>42634</v>
      </c>
      <c r="P35" s="11" t="str">
        <f>"000114"</f>
        <v>000114</v>
      </c>
      <c r="Q35" s="10">
        <v>42635</v>
      </c>
      <c r="R35" s="11">
        <v>14</v>
      </c>
      <c r="S35" s="11" t="str">
        <f>"002572"</f>
        <v>002572</v>
      </c>
      <c r="T35" s="10">
        <v>43265</v>
      </c>
      <c r="U35" s="14">
        <v>29.018350000000002</v>
      </c>
      <c r="V35" s="14">
        <v>1.9782</v>
      </c>
      <c r="W35" s="14">
        <v>27.040150000000001</v>
      </c>
      <c r="X35" s="11">
        <v>90</v>
      </c>
      <c r="Y35" s="10">
        <v>43269</v>
      </c>
      <c r="Z35" s="11">
        <v>8022975812</v>
      </c>
      <c r="AA35" s="12" t="s">
        <v>133</v>
      </c>
      <c r="AB35" s="11" t="s">
        <v>129</v>
      </c>
      <c r="AC35" s="12" t="s">
        <v>130</v>
      </c>
      <c r="AD35" s="11" t="s">
        <v>43</v>
      </c>
      <c r="AE35" s="12" t="s">
        <v>44</v>
      </c>
      <c r="AF35" s="14">
        <v>0.29018350000000004</v>
      </c>
      <c r="AG35" s="11" t="s">
        <v>45</v>
      </c>
    </row>
    <row r="36" spans="1:33" x14ac:dyDescent="0.2">
      <c r="A36" s="8">
        <v>2447</v>
      </c>
      <c r="B36" s="9" t="s">
        <v>103</v>
      </c>
      <c r="C36" s="10">
        <v>43272</v>
      </c>
      <c r="D36" s="11">
        <v>112</v>
      </c>
      <c r="E36" s="12" t="s">
        <v>34</v>
      </c>
      <c r="F36" s="12" t="s">
        <v>34</v>
      </c>
      <c r="G36" s="12" t="s">
        <v>35</v>
      </c>
      <c r="H36" s="12" t="s">
        <v>36</v>
      </c>
      <c r="I36" s="11" t="s">
        <v>134</v>
      </c>
      <c r="J36" s="12" t="s">
        <v>135</v>
      </c>
      <c r="K36" s="13" t="s">
        <v>75</v>
      </c>
      <c r="L36" s="11" t="str">
        <f>"000023"</f>
        <v>000023</v>
      </c>
      <c r="M36" s="10">
        <v>42852</v>
      </c>
      <c r="N36" s="11" t="str">
        <f>"000038"</f>
        <v>000038</v>
      </c>
      <c r="O36" s="10">
        <v>42916</v>
      </c>
      <c r="P36" s="11" t="str">
        <f>"000075"</f>
        <v>000075</v>
      </c>
      <c r="Q36" s="10">
        <v>42916</v>
      </c>
      <c r="R36" s="11">
        <v>17</v>
      </c>
      <c r="S36" s="11" t="str">
        <f>"002678"</f>
        <v>002678</v>
      </c>
      <c r="T36" s="10">
        <v>43270</v>
      </c>
      <c r="U36" s="14">
        <v>5.3840899999999996</v>
      </c>
      <c r="V36" s="14">
        <v>0.43619999999999998</v>
      </c>
      <c r="W36" s="14">
        <v>4.9478900000000001</v>
      </c>
      <c r="X36" s="11">
        <v>98</v>
      </c>
      <c r="Y36" s="10">
        <v>43272</v>
      </c>
      <c r="Z36" s="11">
        <v>8022975812</v>
      </c>
      <c r="AA36" s="12" t="s">
        <v>136</v>
      </c>
      <c r="AB36" s="11" t="s">
        <v>129</v>
      </c>
      <c r="AC36" s="12" t="s">
        <v>130</v>
      </c>
      <c r="AD36" s="11" t="s">
        <v>43</v>
      </c>
      <c r="AE36" s="12" t="s">
        <v>44</v>
      </c>
      <c r="AF36" s="14">
        <v>5.3840899999999997E-2</v>
      </c>
      <c r="AG36" s="11" t="s">
        <v>45</v>
      </c>
    </row>
    <row r="37" spans="1:33" x14ac:dyDescent="0.2">
      <c r="A37" s="8">
        <v>2448</v>
      </c>
      <c r="B37" s="9" t="s">
        <v>103</v>
      </c>
      <c r="C37" s="10">
        <v>43272</v>
      </c>
      <c r="D37" s="11">
        <v>112</v>
      </c>
      <c r="E37" s="12" t="s">
        <v>34</v>
      </c>
      <c r="F37" s="12" t="s">
        <v>34</v>
      </c>
      <c r="G37" s="12" t="s">
        <v>35</v>
      </c>
      <c r="H37" s="12" t="s">
        <v>36</v>
      </c>
      <c r="I37" s="11" t="s">
        <v>137</v>
      </c>
      <c r="J37" s="12" t="s">
        <v>138</v>
      </c>
      <c r="K37" s="13" t="s">
        <v>75</v>
      </c>
      <c r="L37" s="11" t="str">
        <f>"000022"</f>
        <v>000022</v>
      </c>
      <c r="M37" s="10">
        <v>42852</v>
      </c>
      <c r="N37" s="11" t="str">
        <f>"000037"</f>
        <v>000037</v>
      </c>
      <c r="O37" s="10">
        <v>42916</v>
      </c>
      <c r="P37" s="11" t="str">
        <f>"000077"</f>
        <v>000077</v>
      </c>
      <c r="Q37" s="10">
        <v>42916</v>
      </c>
      <c r="R37" s="11">
        <v>17</v>
      </c>
      <c r="S37" s="11" t="str">
        <f>"002683"</f>
        <v>002683</v>
      </c>
      <c r="T37" s="10">
        <v>43270</v>
      </c>
      <c r="U37" s="14">
        <v>5.2809999999999997</v>
      </c>
      <c r="V37" s="14">
        <v>0.42795</v>
      </c>
      <c r="W37" s="14">
        <v>4.8530499999999996</v>
      </c>
      <c r="X37" s="11">
        <v>98</v>
      </c>
      <c r="Y37" s="10">
        <v>43272</v>
      </c>
      <c r="Z37" s="11">
        <v>8022975812</v>
      </c>
      <c r="AA37" s="12" t="s">
        <v>136</v>
      </c>
      <c r="AB37" s="11" t="s">
        <v>129</v>
      </c>
      <c r="AC37" s="12" t="s">
        <v>130</v>
      </c>
      <c r="AD37" s="11" t="s">
        <v>43</v>
      </c>
      <c r="AE37" s="12" t="s">
        <v>44</v>
      </c>
      <c r="AF37" s="14">
        <v>5.2809999999999996E-2</v>
      </c>
      <c r="AG37" s="11" t="s">
        <v>45</v>
      </c>
    </row>
    <row r="38" spans="1:33" x14ac:dyDescent="0.2">
      <c r="A38" s="8">
        <v>2881</v>
      </c>
      <c r="B38" s="9" t="s">
        <v>139</v>
      </c>
      <c r="C38" s="10">
        <v>43283</v>
      </c>
      <c r="D38" s="11">
        <v>112</v>
      </c>
      <c r="E38" s="12" t="s">
        <v>34</v>
      </c>
      <c r="F38" s="12" t="s">
        <v>34</v>
      </c>
      <c r="G38" s="12" t="s">
        <v>35</v>
      </c>
      <c r="H38" s="12" t="s">
        <v>36</v>
      </c>
      <c r="I38" s="11" t="s">
        <v>140</v>
      </c>
      <c r="J38" s="12" t="s">
        <v>141</v>
      </c>
      <c r="K38" s="13" t="s">
        <v>39</v>
      </c>
      <c r="L38" s="11" t="str">
        <f>"000040"</f>
        <v>000040</v>
      </c>
      <c r="M38" s="10">
        <v>42426</v>
      </c>
      <c r="N38" s="11" t="str">
        <f>"000101"</f>
        <v>000101</v>
      </c>
      <c r="O38" s="10">
        <v>42671</v>
      </c>
      <c r="P38" s="11" t="str">
        <f>"000141"</f>
        <v>000141</v>
      </c>
      <c r="Q38" s="10">
        <v>42681</v>
      </c>
      <c r="R38" s="11">
        <v>16</v>
      </c>
      <c r="S38" s="11" t="str">
        <f>"003116"</f>
        <v>003116</v>
      </c>
      <c r="T38" s="10">
        <v>43280</v>
      </c>
      <c r="U38" s="14">
        <v>9.1995799999999992</v>
      </c>
      <c r="V38" s="14">
        <v>0.67169999999999996</v>
      </c>
      <c r="W38" s="14">
        <v>8.5278799999999997</v>
      </c>
      <c r="X38" s="11">
        <v>106</v>
      </c>
      <c r="Y38" s="10">
        <v>43283</v>
      </c>
      <c r="Z38" s="11">
        <v>8022975812</v>
      </c>
      <c r="AA38" s="12" t="s">
        <v>142</v>
      </c>
      <c r="AB38" s="11" t="s">
        <v>129</v>
      </c>
      <c r="AC38" s="12" t="s">
        <v>130</v>
      </c>
      <c r="AD38" s="11" t="s">
        <v>43</v>
      </c>
      <c r="AE38" s="12" t="s">
        <v>44</v>
      </c>
      <c r="AF38" s="14">
        <v>9.1995799999999989E-2</v>
      </c>
      <c r="AG38" s="11" t="s">
        <v>45</v>
      </c>
    </row>
    <row r="39" spans="1:33" x14ac:dyDescent="0.2">
      <c r="A39" s="8">
        <v>2882</v>
      </c>
      <c r="B39" s="9" t="s">
        <v>139</v>
      </c>
      <c r="C39" s="10">
        <v>43283</v>
      </c>
      <c r="D39" s="11">
        <v>112</v>
      </c>
      <c r="E39" s="12" t="s">
        <v>34</v>
      </c>
      <c r="F39" s="12" t="s">
        <v>34</v>
      </c>
      <c r="G39" s="12" t="s">
        <v>35</v>
      </c>
      <c r="H39" s="12" t="s">
        <v>36</v>
      </c>
      <c r="I39" s="11" t="s">
        <v>143</v>
      </c>
      <c r="J39" s="12" t="s">
        <v>144</v>
      </c>
      <c r="K39" s="13" t="s">
        <v>75</v>
      </c>
      <c r="L39" s="11" t="str">
        <f>"000-21"</f>
        <v>000-21</v>
      </c>
      <c r="M39" s="10">
        <v>42852</v>
      </c>
      <c r="N39" s="11" t="str">
        <f>"000036"</f>
        <v>000036</v>
      </c>
      <c r="O39" s="10">
        <v>42916</v>
      </c>
      <c r="P39" s="11" t="str">
        <f>"000076"</f>
        <v>000076</v>
      </c>
      <c r="Q39" s="10">
        <v>42916</v>
      </c>
      <c r="R39" s="11">
        <v>17</v>
      </c>
      <c r="S39" s="11" t="str">
        <f>"003175"</f>
        <v>003175</v>
      </c>
      <c r="T39" s="10">
        <v>43280</v>
      </c>
      <c r="U39" s="14">
        <v>5.476</v>
      </c>
      <c r="V39" s="14">
        <v>0.44362000000000001</v>
      </c>
      <c r="W39" s="14">
        <v>5.0323799999999999</v>
      </c>
      <c r="X39" s="11">
        <v>107</v>
      </c>
      <c r="Y39" s="10">
        <v>43283</v>
      </c>
      <c r="Z39" s="11">
        <v>8022975812</v>
      </c>
      <c r="AA39" s="12" t="s">
        <v>136</v>
      </c>
      <c r="AB39" s="11" t="s">
        <v>129</v>
      </c>
      <c r="AC39" s="12" t="s">
        <v>130</v>
      </c>
      <c r="AD39" s="11" t="s">
        <v>43</v>
      </c>
      <c r="AE39" s="12" t="s">
        <v>44</v>
      </c>
      <c r="AF39" s="14">
        <v>5.4760000000000003E-2</v>
      </c>
      <c r="AG39" s="11" t="s">
        <v>45</v>
      </c>
    </row>
    <row r="40" spans="1:33" x14ac:dyDescent="0.2">
      <c r="A40" s="8">
        <v>2883</v>
      </c>
      <c r="B40" s="9" t="s">
        <v>139</v>
      </c>
      <c r="C40" s="10">
        <v>43283</v>
      </c>
      <c r="D40" s="11">
        <v>112</v>
      </c>
      <c r="E40" s="12" t="s">
        <v>34</v>
      </c>
      <c r="F40" s="12" t="s">
        <v>34</v>
      </c>
      <c r="G40" s="12" t="s">
        <v>35</v>
      </c>
      <c r="H40" s="12" t="s">
        <v>36</v>
      </c>
      <c r="I40" s="11" t="s">
        <v>145</v>
      </c>
      <c r="J40" s="12" t="s">
        <v>146</v>
      </c>
      <c r="K40" s="13" t="s">
        <v>75</v>
      </c>
      <c r="L40" s="11" t="str">
        <f>"000055"</f>
        <v>000055</v>
      </c>
      <c r="M40" s="10">
        <v>42440</v>
      </c>
      <c r="N40" s="11" t="str">
        <f>"000 89"</f>
        <v>000 89</v>
      </c>
      <c r="O40" s="10">
        <v>42810</v>
      </c>
      <c r="P40" s="11" t="str">
        <f>"000694"</f>
        <v>000694</v>
      </c>
      <c r="Q40" s="10">
        <v>42810</v>
      </c>
      <c r="R40" s="11">
        <v>16</v>
      </c>
      <c r="S40" s="11" t="str">
        <f>"002890"</f>
        <v>002890</v>
      </c>
      <c r="T40" s="10">
        <v>43276</v>
      </c>
      <c r="U40" s="14">
        <v>11.988899999999999</v>
      </c>
      <c r="V40" s="14">
        <v>1.7917099999999999</v>
      </c>
      <c r="W40" s="14">
        <v>10.197190000000001</v>
      </c>
      <c r="X40" s="11">
        <v>108</v>
      </c>
      <c r="Y40" s="10">
        <v>43283</v>
      </c>
      <c r="Z40" s="11">
        <v>9845524294</v>
      </c>
      <c r="AA40" s="12" t="s">
        <v>107</v>
      </c>
      <c r="AB40" s="11" t="s">
        <v>108</v>
      </c>
      <c r="AC40" s="12" t="s">
        <v>109</v>
      </c>
      <c r="AD40" s="11" t="s">
        <v>110</v>
      </c>
      <c r="AE40" s="12" t="s">
        <v>111</v>
      </c>
      <c r="AF40" s="14">
        <v>0.119889</v>
      </c>
      <c r="AG40" s="11" t="s">
        <v>45</v>
      </c>
    </row>
    <row r="41" spans="1:33" x14ac:dyDescent="0.2">
      <c r="A41" s="8">
        <v>3193</v>
      </c>
      <c r="B41" s="9" t="s">
        <v>139</v>
      </c>
      <c r="C41" s="10">
        <v>43290</v>
      </c>
      <c r="D41" s="11">
        <v>112</v>
      </c>
      <c r="E41" s="12" t="s">
        <v>34</v>
      </c>
      <c r="F41" s="12" t="s">
        <v>34</v>
      </c>
      <c r="G41" s="12" t="s">
        <v>35</v>
      </c>
      <c r="H41" s="12" t="s">
        <v>36</v>
      </c>
      <c r="I41" s="11" t="s">
        <v>147</v>
      </c>
      <c r="J41" s="12" t="s">
        <v>148</v>
      </c>
      <c r="K41" s="13" t="s">
        <v>149</v>
      </c>
      <c r="L41" s="11" t="str">
        <f>"000-35"</f>
        <v>000-35</v>
      </c>
      <c r="M41" s="10">
        <v>42606</v>
      </c>
      <c r="N41" s="11" t="str">
        <f>"000115"</f>
        <v>000115</v>
      </c>
      <c r="O41" s="10">
        <v>42705</v>
      </c>
      <c r="P41" s="11" t="str">
        <f>"000167"</f>
        <v>000167</v>
      </c>
      <c r="Q41" s="10">
        <v>42734</v>
      </c>
      <c r="R41" s="11">
        <v>16</v>
      </c>
      <c r="S41" s="11" t="str">
        <f>"003423"</f>
        <v>003423</v>
      </c>
      <c r="T41" s="10">
        <v>43288</v>
      </c>
      <c r="U41" s="14">
        <v>4.74125</v>
      </c>
      <c r="V41" s="14">
        <v>0.2893</v>
      </c>
      <c r="W41" s="14">
        <v>4.4519500000000001</v>
      </c>
      <c r="X41" s="11">
        <v>117</v>
      </c>
      <c r="Y41" s="10">
        <v>43290</v>
      </c>
      <c r="Z41" s="11">
        <v>8022975812</v>
      </c>
      <c r="AA41" s="12" t="s">
        <v>150</v>
      </c>
      <c r="AB41" s="11" t="s">
        <v>129</v>
      </c>
      <c r="AC41" s="12" t="s">
        <v>130</v>
      </c>
      <c r="AD41" s="11" t="s">
        <v>43</v>
      </c>
      <c r="AE41" s="12" t="s">
        <v>44</v>
      </c>
      <c r="AF41" s="14">
        <v>4.7412499999999996E-2</v>
      </c>
      <c r="AG41" s="11" t="s">
        <v>45</v>
      </c>
    </row>
    <row r="42" spans="1:33" x14ac:dyDescent="0.2">
      <c r="A42" s="8">
        <v>3317</v>
      </c>
      <c r="B42" s="9" t="s">
        <v>139</v>
      </c>
      <c r="C42" s="10">
        <v>43297</v>
      </c>
      <c r="D42" s="11">
        <v>112</v>
      </c>
      <c r="E42" s="12" t="s">
        <v>34</v>
      </c>
      <c r="F42" s="12" t="s">
        <v>34</v>
      </c>
      <c r="G42" s="12" t="s">
        <v>35</v>
      </c>
      <c r="H42" s="12" t="s">
        <v>36</v>
      </c>
      <c r="I42" s="11" t="s">
        <v>151</v>
      </c>
      <c r="J42" s="12" t="s">
        <v>152</v>
      </c>
      <c r="K42" s="13" t="s">
        <v>39</v>
      </c>
      <c r="L42" s="11" t="str">
        <f>"000-39"</f>
        <v>000-39</v>
      </c>
      <c r="M42" s="10">
        <v>42632</v>
      </c>
      <c r="N42" s="11" t="str">
        <f>"000116"</f>
        <v>000116</v>
      </c>
      <c r="O42" s="10">
        <v>42705</v>
      </c>
      <c r="P42" s="11" t="str">
        <f>"000168"</f>
        <v>000168</v>
      </c>
      <c r="Q42" s="10">
        <v>42735</v>
      </c>
      <c r="R42" s="11">
        <v>16</v>
      </c>
      <c r="S42" s="11" t="str">
        <f>"003669"</f>
        <v>003669</v>
      </c>
      <c r="T42" s="10">
        <v>43293</v>
      </c>
      <c r="U42" s="14">
        <v>9.9894999999999996</v>
      </c>
      <c r="V42" s="14">
        <v>0.69440000000000002</v>
      </c>
      <c r="W42" s="14">
        <v>9.2950999999999997</v>
      </c>
      <c r="X42" s="11">
        <v>125</v>
      </c>
      <c r="Y42" s="10">
        <v>43297</v>
      </c>
      <c r="Z42" s="11">
        <v>8022975812</v>
      </c>
      <c r="AA42" s="12" t="s">
        <v>150</v>
      </c>
      <c r="AB42" s="11" t="s">
        <v>129</v>
      </c>
      <c r="AC42" s="12" t="s">
        <v>130</v>
      </c>
      <c r="AD42" s="11" t="s">
        <v>43</v>
      </c>
      <c r="AE42" s="12" t="s">
        <v>44</v>
      </c>
      <c r="AF42" s="14">
        <v>9.9894999999999998E-2</v>
      </c>
      <c r="AG42" s="11" t="s">
        <v>45</v>
      </c>
    </row>
    <row r="43" spans="1:33" x14ac:dyDescent="0.2">
      <c r="A43" s="8">
        <v>3318</v>
      </c>
      <c r="B43" s="9" t="s">
        <v>139</v>
      </c>
      <c r="C43" s="10">
        <v>43297</v>
      </c>
      <c r="D43" s="11">
        <v>112</v>
      </c>
      <c r="E43" s="12" t="s">
        <v>34</v>
      </c>
      <c r="F43" s="12" t="s">
        <v>34</v>
      </c>
      <c r="G43" s="12" t="s">
        <v>35</v>
      </c>
      <c r="H43" s="12" t="s">
        <v>36</v>
      </c>
      <c r="I43" s="11" t="s">
        <v>153</v>
      </c>
      <c r="J43" s="12" t="s">
        <v>154</v>
      </c>
      <c r="K43" s="13" t="s">
        <v>39</v>
      </c>
      <c r="L43" s="11" t="str">
        <f>"000-38"</f>
        <v>000-38</v>
      </c>
      <c r="M43" s="10">
        <v>42632</v>
      </c>
      <c r="N43" s="11" t="str">
        <f>"000114"</f>
        <v>000114</v>
      </c>
      <c r="O43" s="10">
        <v>42705</v>
      </c>
      <c r="P43" s="11" t="str">
        <f>"000169"</f>
        <v>000169</v>
      </c>
      <c r="Q43" s="10">
        <v>42735</v>
      </c>
      <c r="R43" s="11">
        <v>16</v>
      </c>
      <c r="S43" s="11" t="str">
        <f>"003670"</f>
        <v>003670</v>
      </c>
      <c r="T43" s="10">
        <v>43293</v>
      </c>
      <c r="U43" s="14">
        <v>9.9795999999999996</v>
      </c>
      <c r="V43" s="14">
        <v>0.69869999999999999</v>
      </c>
      <c r="W43" s="14">
        <v>9.2809000000000008</v>
      </c>
      <c r="X43" s="11">
        <v>125</v>
      </c>
      <c r="Y43" s="10">
        <v>43297</v>
      </c>
      <c r="Z43" s="11">
        <v>8022975812</v>
      </c>
      <c r="AA43" s="12" t="s">
        <v>150</v>
      </c>
      <c r="AB43" s="11" t="s">
        <v>129</v>
      </c>
      <c r="AC43" s="12" t="s">
        <v>130</v>
      </c>
      <c r="AD43" s="11" t="s">
        <v>43</v>
      </c>
      <c r="AE43" s="12" t="s">
        <v>44</v>
      </c>
      <c r="AF43" s="14">
        <v>9.9795999999999996E-2</v>
      </c>
      <c r="AG43" s="11" t="s">
        <v>45</v>
      </c>
    </row>
    <row r="44" spans="1:33" x14ac:dyDescent="0.2">
      <c r="A44" s="8">
        <v>3761</v>
      </c>
      <c r="B44" s="9" t="s">
        <v>139</v>
      </c>
      <c r="C44" s="10">
        <v>43301</v>
      </c>
      <c r="D44" s="11">
        <v>112</v>
      </c>
      <c r="E44" s="12" t="s">
        <v>34</v>
      </c>
      <c r="F44" s="12" t="s">
        <v>34</v>
      </c>
      <c r="G44" s="12" t="s">
        <v>35</v>
      </c>
      <c r="H44" s="12" t="s">
        <v>36</v>
      </c>
      <c r="I44" s="11" t="s">
        <v>155</v>
      </c>
      <c r="J44" s="12" t="s">
        <v>156</v>
      </c>
      <c r="K44" s="13" t="s">
        <v>52</v>
      </c>
      <c r="L44" s="11" t="str">
        <f>"000004"</f>
        <v>000004</v>
      </c>
      <c r="M44" s="10">
        <v>42947</v>
      </c>
      <c r="N44" s="11" t="str">
        <f>"000140"</f>
        <v>000140</v>
      </c>
      <c r="O44" s="10">
        <v>43132</v>
      </c>
      <c r="P44" s="11" t="str">
        <f>"000129"</f>
        <v>000129</v>
      </c>
      <c r="Q44" s="10">
        <v>43132</v>
      </c>
      <c r="R44" s="11">
        <v>16</v>
      </c>
      <c r="S44" s="11" t="str">
        <f>"003976"</f>
        <v>003976</v>
      </c>
      <c r="T44" s="10">
        <v>43299</v>
      </c>
      <c r="U44" s="14">
        <v>15.25667</v>
      </c>
      <c r="V44" s="14">
        <v>1.2468699999999999</v>
      </c>
      <c r="W44" s="14">
        <v>14.0098</v>
      </c>
      <c r="X44" s="11">
        <v>134</v>
      </c>
      <c r="Y44" s="10">
        <v>43301</v>
      </c>
      <c r="Z44" s="11">
        <v>9845036857</v>
      </c>
      <c r="AA44" s="12" t="s">
        <v>157</v>
      </c>
      <c r="AB44" s="11" t="s">
        <v>158</v>
      </c>
      <c r="AC44" s="12" t="s">
        <v>159</v>
      </c>
      <c r="AD44" s="11" t="s">
        <v>160</v>
      </c>
      <c r="AE44" s="12" t="s">
        <v>161</v>
      </c>
      <c r="AF44" s="14">
        <v>0.1525667</v>
      </c>
      <c r="AG44" s="11" t="s">
        <v>45</v>
      </c>
    </row>
    <row r="45" spans="1:33" x14ac:dyDescent="0.2">
      <c r="A45" s="8">
        <v>3762</v>
      </c>
      <c r="B45" s="9" t="s">
        <v>139</v>
      </c>
      <c r="C45" s="10">
        <v>43301</v>
      </c>
      <c r="D45" s="11">
        <v>112</v>
      </c>
      <c r="E45" s="12" t="s">
        <v>34</v>
      </c>
      <c r="F45" s="12" t="s">
        <v>34</v>
      </c>
      <c r="G45" s="12" t="s">
        <v>35</v>
      </c>
      <c r="H45" s="12" t="s">
        <v>36</v>
      </c>
      <c r="I45" s="11" t="s">
        <v>155</v>
      </c>
      <c r="J45" s="12" t="s">
        <v>156</v>
      </c>
      <c r="K45" s="13" t="s">
        <v>52</v>
      </c>
      <c r="L45" s="11" t="str">
        <f>"000004"</f>
        <v>000004</v>
      </c>
      <c r="M45" s="10">
        <v>42947</v>
      </c>
      <c r="N45" s="11" t="str">
        <f>"000140"</f>
        <v>000140</v>
      </c>
      <c r="O45" s="10">
        <v>43132</v>
      </c>
      <c r="P45" s="11" t="str">
        <f>"000129"</f>
        <v>000129</v>
      </c>
      <c r="Q45" s="10">
        <v>43132</v>
      </c>
      <c r="R45" s="11">
        <v>16</v>
      </c>
      <c r="S45" s="11" t="str">
        <f>"003976"</f>
        <v>003976</v>
      </c>
      <c r="T45" s="10">
        <v>43299</v>
      </c>
      <c r="U45" s="14">
        <v>11.649480000000001</v>
      </c>
      <c r="V45" s="14">
        <v>1.4126799999999999</v>
      </c>
      <c r="W45" s="14">
        <v>10.236800000000001</v>
      </c>
      <c r="X45" s="11">
        <v>134</v>
      </c>
      <c r="Y45" s="10">
        <v>43301</v>
      </c>
      <c r="Z45" s="11">
        <v>9845036857</v>
      </c>
      <c r="AA45" s="12" t="s">
        <v>157</v>
      </c>
      <c r="AB45" s="11" t="s">
        <v>158</v>
      </c>
      <c r="AC45" s="12" t="s">
        <v>159</v>
      </c>
      <c r="AD45" s="11" t="s">
        <v>160</v>
      </c>
      <c r="AE45" s="12" t="s">
        <v>161</v>
      </c>
      <c r="AF45" s="14">
        <v>0.11649480000000001</v>
      </c>
      <c r="AG45" s="11" t="s">
        <v>45</v>
      </c>
    </row>
    <row r="46" spans="1:33" x14ac:dyDescent="0.2">
      <c r="A46" s="8">
        <v>3856</v>
      </c>
      <c r="B46" s="9" t="s">
        <v>139</v>
      </c>
      <c r="C46" s="10">
        <v>43304</v>
      </c>
      <c r="D46" s="11">
        <v>112</v>
      </c>
      <c r="E46" s="12" t="s">
        <v>34</v>
      </c>
      <c r="F46" s="12" t="s">
        <v>34</v>
      </c>
      <c r="G46" s="12" t="s">
        <v>35</v>
      </c>
      <c r="H46" s="12" t="s">
        <v>36</v>
      </c>
      <c r="I46" s="11" t="s">
        <v>162</v>
      </c>
      <c r="J46" s="12" t="s">
        <v>163</v>
      </c>
      <c r="K46" s="13" t="s">
        <v>149</v>
      </c>
      <c r="L46" s="11" t="str">
        <f>"000006"</f>
        <v>000006</v>
      </c>
      <c r="M46" s="10">
        <v>43197</v>
      </c>
      <c r="N46" s="11" t="str">
        <f>"000019"</f>
        <v>000019</v>
      </c>
      <c r="O46" s="10">
        <v>43297</v>
      </c>
      <c r="P46" s="11" t="str">
        <f>"000023"</f>
        <v>000023</v>
      </c>
      <c r="Q46" s="10">
        <v>43297</v>
      </c>
      <c r="R46" s="11">
        <v>17</v>
      </c>
      <c r="S46" s="11" t="str">
        <f>"004212"</f>
        <v>004212</v>
      </c>
      <c r="T46" s="10">
        <v>43302</v>
      </c>
      <c r="U46" s="14">
        <v>44.628399999999999</v>
      </c>
      <c r="V46" s="14">
        <v>1.3832500000000001</v>
      </c>
      <c r="W46" s="14">
        <v>43.245150000000002</v>
      </c>
      <c r="X46" s="11">
        <v>137</v>
      </c>
      <c r="Y46" s="10">
        <v>43304</v>
      </c>
      <c r="Z46" s="11">
        <v>8022975812</v>
      </c>
      <c r="AA46" s="12" t="s">
        <v>164</v>
      </c>
      <c r="AB46" s="11" t="s">
        <v>54</v>
      </c>
      <c r="AC46" s="12" t="s">
        <v>55</v>
      </c>
      <c r="AD46" s="11" t="s">
        <v>43</v>
      </c>
      <c r="AE46" s="12" t="s">
        <v>44</v>
      </c>
      <c r="AF46" s="14">
        <v>0.44628400000000001</v>
      </c>
      <c r="AG46" s="11" t="s">
        <v>165</v>
      </c>
    </row>
    <row r="47" spans="1:33" x14ac:dyDescent="0.2">
      <c r="A47" s="8">
        <v>4855</v>
      </c>
      <c r="B47" s="9" t="s">
        <v>166</v>
      </c>
      <c r="C47" s="10">
        <v>43326</v>
      </c>
      <c r="D47" s="11">
        <v>112</v>
      </c>
      <c r="E47" s="12" t="s">
        <v>34</v>
      </c>
      <c r="F47" s="12" t="s">
        <v>34</v>
      </c>
      <c r="G47" s="12" t="s">
        <v>35</v>
      </c>
      <c r="H47" s="12" t="s">
        <v>36</v>
      </c>
      <c r="I47" s="11" t="s">
        <v>167</v>
      </c>
      <c r="J47" s="12" t="s">
        <v>168</v>
      </c>
      <c r="K47" s="13" t="s">
        <v>106</v>
      </c>
      <c r="L47" s="11" t="str">
        <f>"000042"</f>
        <v>000042</v>
      </c>
      <c r="M47" s="10">
        <v>42893</v>
      </c>
      <c r="N47" s="11" t="str">
        <f>"000020"</f>
        <v>000020</v>
      </c>
      <c r="O47" s="10">
        <v>43003</v>
      </c>
      <c r="P47" s="11" t="str">
        <f>"000028"</f>
        <v>000028</v>
      </c>
      <c r="Q47" s="10">
        <v>43003</v>
      </c>
      <c r="R47" s="11">
        <v>14</v>
      </c>
      <c r="S47" s="11" t="str">
        <f>"005092"</f>
        <v>005092</v>
      </c>
      <c r="T47" s="10">
        <v>43322</v>
      </c>
      <c r="U47" s="14">
        <v>6.2411300000000001</v>
      </c>
      <c r="V47" s="14">
        <v>0.50565000000000004</v>
      </c>
      <c r="W47" s="14">
        <v>5.7354799999999999</v>
      </c>
      <c r="X47" s="11">
        <v>171</v>
      </c>
      <c r="Y47" s="10">
        <v>43326</v>
      </c>
      <c r="Z47" s="11">
        <v>8022975812</v>
      </c>
      <c r="AA47" s="12" t="s">
        <v>136</v>
      </c>
      <c r="AB47" s="11" t="s">
        <v>108</v>
      </c>
      <c r="AC47" s="12" t="s">
        <v>109</v>
      </c>
      <c r="AD47" s="11" t="s">
        <v>43</v>
      </c>
      <c r="AE47" s="12" t="s">
        <v>44</v>
      </c>
      <c r="AF47" s="14">
        <v>6.2411300000000003E-2</v>
      </c>
      <c r="AG47" s="11" t="s">
        <v>45</v>
      </c>
    </row>
    <row r="48" spans="1:33" x14ac:dyDescent="0.2">
      <c r="A48" s="8">
        <v>5016</v>
      </c>
      <c r="B48" s="9" t="s">
        <v>166</v>
      </c>
      <c r="C48" s="10">
        <v>43333</v>
      </c>
      <c r="D48" s="11">
        <v>112</v>
      </c>
      <c r="E48" s="12" t="s">
        <v>34</v>
      </c>
      <c r="F48" s="12" t="s">
        <v>34</v>
      </c>
      <c r="G48" s="12" t="s">
        <v>35</v>
      </c>
      <c r="H48" s="12" t="s">
        <v>36</v>
      </c>
      <c r="I48" s="11" t="s">
        <v>169</v>
      </c>
      <c r="J48" s="12" t="s">
        <v>170</v>
      </c>
      <c r="K48" s="13" t="s">
        <v>171</v>
      </c>
      <c r="L48" s="11" t="str">
        <f>"000034"</f>
        <v>000034</v>
      </c>
      <c r="M48" s="10">
        <v>42992</v>
      </c>
      <c r="N48" s="11" t="str">
        <f>"000048"</f>
        <v>000048</v>
      </c>
      <c r="O48" s="10">
        <v>43055</v>
      </c>
      <c r="P48" s="11" t="str">
        <f>"000058"</f>
        <v>000058</v>
      </c>
      <c r="Q48" s="10">
        <v>43055</v>
      </c>
      <c r="R48" s="11">
        <v>17</v>
      </c>
      <c r="S48" s="11" t="str">
        <f>"005282"</f>
        <v>005282</v>
      </c>
      <c r="T48" s="10">
        <v>43332</v>
      </c>
      <c r="U48" s="14">
        <v>14.9284</v>
      </c>
      <c r="V48" s="14">
        <v>1.2839499999999999</v>
      </c>
      <c r="W48" s="14">
        <v>13.644450000000001</v>
      </c>
      <c r="X48" s="11">
        <v>176</v>
      </c>
      <c r="Y48" s="10">
        <v>43333</v>
      </c>
      <c r="Z48" s="11">
        <v>8022975812</v>
      </c>
      <c r="AA48" s="12" t="s">
        <v>172</v>
      </c>
      <c r="AB48" s="11" t="s">
        <v>173</v>
      </c>
      <c r="AC48" s="12" t="s">
        <v>174</v>
      </c>
      <c r="AD48" s="11" t="s">
        <v>43</v>
      </c>
      <c r="AE48" s="12" t="s">
        <v>44</v>
      </c>
      <c r="AF48" s="14">
        <v>0.149284</v>
      </c>
      <c r="AG48" s="11" t="s">
        <v>45</v>
      </c>
    </row>
    <row r="49" spans="1:33" x14ac:dyDescent="0.2">
      <c r="A49" s="8">
        <v>5106</v>
      </c>
      <c r="B49" s="9" t="s">
        <v>166</v>
      </c>
      <c r="C49" s="10">
        <v>43337</v>
      </c>
      <c r="D49" s="11">
        <v>112</v>
      </c>
      <c r="E49" s="12" t="s">
        <v>34</v>
      </c>
      <c r="F49" s="12" t="s">
        <v>34</v>
      </c>
      <c r="G49" s="12" t="s">
        <v>35</v>
      </c>
      <c r="H49" s="12" t="s">
        <v>36</v>
      </c>
      <c r="I49" s="11" t="s">
        <v>175</v>
      </c>
      <c r="J49" s="12" t="s">
        <v>176</v>
      </c>
      <c r="K49" s="13" t="s">
        <v>75</v>
      </c>
      <c r="L49" s="11" t="str">
        <f>"000057"</f>
        <v>000057</v>
      </c>
      <c r="M49" s="10">
        <v>43196</v>
      </c>
      <c r="N49" s="11" t="str">
        <f>"000042"</f>
        <v>000042</v>
      </c>
      <c r="O49" s="10">
        <v>43190</v>
      </c>
      <c r="P49" s="11" t="str">
        <f>"000023"</f>
        <v>000023</v>
      </c>
      <c r="Q49" s="10">
        <v>43294</v>
      </c>
      <c r="R49" s="11">
        <v>18</v>
      </c>
      <c r="S49" s="11" t="str">
        <f>"005217"</f>
        <v>005217</v>
      </c>
      <c r="T49" s="10">
        <v>43326</v>
      </c>
      <c r="U49" s="14">
        <v>59.963000000000001</v>
      </c>
      <c r="V49" s="14">
        <v>5.1569000000000003</v>
      </c>
      <c r="W49" s="14">
        <v>54.806100000000001</v>
      </c>
      <c r="X49" s="11">
        <v>181</v>
      </c>
      <c r="Y49" s="10">
        <v>43337</v>
      </c>
      <c r="Z49" s="11">
        <v>822975815</v>
      </c>
      <c r="AA49" s="12" t="s">
        <v>177</v>
      </c>
      <c r="AB49" s="11" t="s">
        <v>178</v>
      </c>
      <c r="AC49" s="12" t="s">
        <v>179</v>
      </c>
      <c r="AD49" s="11" t="s">
        <v>110</v>
      </c>
      <c r="AE49" s="12" t="s">
        <v>111</v>
      </c>
      <c r="AF49" s="14">
        <v>0.59963</v>
      </c>
      <c r="AG49" s="11" t="s">
        <v>96</v>
      </c>
    </row>
    <row r="50" spans="1:33" x14ac:dyDescent="0.2">
      <c r="A50" s="8">
        <v>5107</v>
      </c>
      <c r="B50" s="9" t="s">
        <v>166</v>
      </c>
      <c r="C50" s="10">
        <v>43337</v>
      </c>
      <c r="D50" s="11">
        <v>112</v>
      </c>
      <c r="E50" s="12" t="s">
        <v>34</v>
      </c>
      <c r="F50" s="12" t="s">
        <v>34</v>
      </c>
      <c r="G50" s="12" t="s">
        <v>35</v>
      </c>
      <c r="H50" s="12" t="s">
        <v>36</v>
      </c>
      <c r="I50" s="11" t="s">
        <v>180</v>
      </c>
      <c r="J50" s="12" t="s">
        <v>181</v>
      </c>
      <c r="K50" s="13" t="s">
        <v>75</v>
      </c>
      <c r="L50" s="11" t="str">
        <f>"000059"</f>
        <v>000059</v>
      </c>
      <c r="M50" s="10">
        <v>43209</v>
      </c>
      <c r="N50" s="11" t="str">
        <f>"000043"</f>
        <v>000043</v>
      </c>
      <c r="O50" s="10">
        <v>43190</v>
      </c>
      <c r="P50" s="11" t="str">
        <f>"000024"</f>
        <v>000024</v>
      </c>
      <c r="Q50" s="10">
        <v>43294</v>
      </c>
      <c r="R50" s="11">
        <v>18</v>
      </c>
      <c r="S50" s="11" t="str">
        <f>"005220"</f>
        <v>005220</v>
      </c>
      <c r="T50" s="10">
        <v>43326</v>
      </c>
      <c r="U50" s="14">
        <v>29.980499999999999</v>
      </c>
      <c r="V50" s="14">
        <v>2.6843499999999998</v>
      </c>
      <c r="W50" s="14">
        <v>27.296150000000001</v>
      </c>
      <c r="X50" s="11">
        <v>181</v>
      </c>
      <c r="Y50" s="10">
        <v>43337</v>
      </c>
      <c r="Z50" s="11">
        <v>8022975815</v>
      </c>
      <c r="AA50" s="12" t="s">
        <v>182</v>
      </c>
      <c r="AB50" s="11" t="s">
        <v>178</v>
      </c>
      <c r="AC50" s="12" t="s">
        <v>179</v>
      </c>
      <c r="AD50" s="11" t="s">
        <v>110</v>
      </c>
      <c r="AE50" s="12" t="s">
        <v>111</v>
      </c>
      <c r="AF50" s="14">
        <v>0.29980499999999999</v>
      </c>
      <c r="AG50" s="11" t="s">
        <v>96</v>
      </c>
    </row>
    <row r="51" spans="1:33" x14ac:dyDescent="0.2">
      <c r="A51" s="8">
        <v>5138</v>
      </c>
      <c r="B51" s="9" t="s">
        <v>166</v>
      </c>
      <c r="C51" s="10">
        <v>43339</v>
      </c>
      <c r="D51" s="11">
        <v>112</v>
      </c>
      <c r="E51" s="12" t="s">
        <v>34</v>
      </c>
      <c r="F51" s="12" t="s">
        <v>34</v>
      </c>
      <c r="G51" s="12" t="s">
        <v>35</v>
      </c>
      <c r="H51" s="12" t="s">
        <v>36</v>
      </c>
      <c r="I51" s="11" t="s">
        <v>183</v>
      </c>
      <c r="J51" s="12" t="s">
        <v>184</v>
      </c>
      <c r="K51" s="13" t="s">
        <v>52</v>
      </c>
      <c r="L51" s="11" t="str">
        <f>"000045"</f>
        <v>000045</v>
      </c>
      <c r="M51" s="10">
        <v>43300</v>
      </c>
      <c r="N51" s="11" t="str">
        <f>"000074"</f>
        <v>000074</v>
      </c>
      <c r="O51" s="10">
        <v>43300</v>
      </c>
      <c r="P51" s="11" t="str">
        <f>"000072"</f>
        <v>000072</v>
      </c>
      <c r="Q51" s="10">
        <v>43300</v>
      </c>
      <c r="R51" s="11">
        <v>17</v>
      </c>
      <c r="S51" s="11" t="str">
        <f>"005410"</f>
        <v>005410</v>
      </c>
      <c r="T51" s="10">
        <v>43339</v>
      </c>
      <c r="U51" s="14">
        <v>8.00413</v>
      </c>
      <c r="V51" s="14">
        <v>0.27300000000000002</v>
      </c>
      <c r="W51" s="14">
        <v>7.7311300000000003</v>
      </c>
      <c r="X51" s="11">
        <v>184</v>
      </c>
      <c r="Y51" s="10">
        <v>43339</v>
      </c>
      <c r="Z51" s="11">
        <v>9901967054</v>
      </c>
      <c r="AA51" s="12" t="s">
        <v>185</v>
      </c>
      <c r="AB51" s="11" t="s">
        <v>54</v>
      </c>
      <c r="AC51" s="12" t="s">
        <v>55</v>
      </c>
      <c r="AD51" s="11" t="s">
        <v>160</v>
      </c>
      <c r="AE51" s="12" t="s">
        <v>161</v>
      </c>
      <c r="AF51" s="14">
        <v>8.0041299999999996E-2</v>
      </c>
      <c r="AG51" s="11" t="s">
        <v>165</v>
      </c>
    </row>
    <row r="52" spans="1:33" x14ac:dyDescent="0.2">
      <c r="A52" s="8">
        <v>5694</v>
      </c>
      <c r="B52" s="9" t="s">
        <v>186</v>
      </c>
      <c r="C52" s="10">
        <v>43370</v>
      </c>
      <c r="D52" s="11">
        <v>112</v>
      </c>
      <c r="E52" s="12" t="s">
        <v>34</v>
      </c>
      <c r="F52" s="12" t="s">
        <v>34</v>
      </c>
      <c r="G52" s="12" t="s">
        <v>35</v>
      </c>
      <c r="H52" s="12" t="s">
        <v>36</v>
      </c>
      <c r="I52" s="11" t="s">
        <v>187</v>
      </c>
      <c r="J52" s="12" t="s">
        <v>188</v>
      </c>
      <c r="K52" s="13" t="s">
        <v>171</v>
      </c>
      <c r="L52" s="11" t="str">
        <f>"000080"</f>
        <v>000080</v>
      </c>
      <c r="M52" s="10">
        <v>43086</v>
      </c>
      <c r="N52" s="11" t="str">
        <f>"000053"</f>
        <v>000053</v>
      </c>
      <c r="O52" s="10">
        <v>43087</v>
      </c>
      <c r="P52" s="11" t="str">
        <f>"000070"</f>
        <v>000070</v>
      </c>
      <c r="Q52" s="10">
        <v>43087</v>
      </c>
      <c r="R52" s="11">
        <v>16</v>
      </c>
      <c r="S52" s="11" t="str">
        <f>"005917"</f>
        <v>005917</v>
      </c>
      <c r="T52" s="10">
        <v>43368</v>
      </c>
      <c r="U52" s="14">
        <v>24.954910000000002</v>
      </c>
      <c r="V52" s="14">
        <v>2.1959499999999998</v>
      </c>
      <c r="W52" s="14">
        <v>22.758959999999998</v>
      </c>
      <c r="X52" s="11">
        <v>218</v>
      </c>
      <c r="Y52" s="10">
        <v>43370</v>
      </c>
      <c r="Z52" s="11">
        <v>8022975812</v>
      </c>
      <c r="AA52" s="12" t="s">
        <v>189</v>
      </c>
      <c r="AB52" s="11" t="s">
        <v>173</v>
      </c>
      <c r="AC52" s="12" t="s">
        <v>174</v>
      </c>
      <c r="AD52" s="11" t="s">
        <v>43</v>
      </c>
      <c r="AE52" s="12" t="s">
        <v>44</v>
      </c>
      <c r="AF52" s="14">
        <f t="shared" ref="AF52:AF73" si="0">U52/100</f>
        <v>0.24954910000000002</v>
      </c>
      <c r="AG52" s="11" t="s">
        <v>45</v>
      </c>
    </row>
    <row r="53" spans="1:33" x14ac:dyDescent="0.2">
      <c r="A53" s="8">
        <v>6151</v>
      </c>
      <c r="B53" s="9" t="s">
        <v>190</v>
      </c>
      <c r="C53" s="10">
        <v>43385</v>
      </c>
      <c r="D53" s="11">
        <v>112</v>
      </c>
      <c r="E53" s="12" t="s">
        <v>34</v>
      </c>
      <c r="F53" s="12" t="s">
        <v>34</v>
      </c>
      <c r="G53" s="12" t="s">
        <v>35</v>
      </c>
      <c r="H53" s="12" t="s">
        <v>36</v>
      </c>
      <c r="I53" s="11" t="s">
        <v>99</v>
      </c>
      <c r="J53" s="12" t="s">
        <v>100</v>
      </c>
      <c r="K53" s="13" t="s">
        <v>39</v>
      </c>
      <c r="L53" s="11" t="str">
        <f>"000139"</f>
        <v>000139</v>
      </c>
      <c r="M53" s="10">
        <v>43181</v>
      </c>
      <c r="N53" s="11" t="str">
        <f>"000011"</f>
        <v>000011</v>
      </c>
      <c r="O53" s="10">
        <v>43277</v>
      </c>
      <c r="P53" s="11" t="str">
        <f>"000015"</f>
        <v>000015</v>
      </c>
      <c r="Q53" s="10">
        <v>43277</v>
      </c>
      <c r="R53" s="11">
        <v>16</v>
      </c>
      <c r="S53" s="11" t="str">
        <f>"006197"</f>
        <v>006197</v>
      </c>
      <c r="T53" s="10">
        <v>43377</v>
      </c>
      <c r="U53" s="14">
        <v>7.0273000000000003</v>
      </c>
      <c r="V53" s="14">
        <v>0.28889999999999999</v>
      </c>
      <c r="W53" s="14">
        <v>6.7384000000000004</v>
      </c>
      <c r="X53" s="11">
        <v>227</v>
      </c>
      <c r="Y53" s="10">
        <v>43385</v>
      </c>
      <c r="Z53" s="11">
        <v>8022975812</v>
      </c>
      <c r="AA53" s="12" t="s">
        <v>72</v>
      </c>
      <c r="AB53" s="11" t="s">
        <v>63</v>
      </c>
      <c r="AC53" s="12" t="s">
        <v>64</v>
      </c>
      <c r="AD53" s="11" t="s">
        <v>43</v>
      </c>
      <c r="AE53" s="12" t="s">
        <v>44</v>
      </c>
      <c r="AF53" s="14">
        <f t="shared" si="0"/>
        <v>7.0273000000000002E-2</v>
      </c>
      <c r="AG53" s="11" t="s">
        <v>96</v>
      </c>
    </row>
    <row r="54" spans="1:33" x14ac:dyDescent="0.2">
      <c r="A54" s="8">
        <v>6152</v>
      </c>
      <c r="B54" s="9" t="s">
        <v>190</v>
      </c>
      <c r="C54" s="10">
        <v>43385</v>
      </c>
      <c r="D54" s="11">
        <v>112</v>
      </c>
      <c r="E54" s="12" t="s">
        <v>34</v>
      </c>
      <c r="F54" s="12" t="s">
        <v>34</v>
      </c>
      <c r="G54" s="12" t="s">
        <v>35</v>
      </c>
      <c r="H54" s="12" t="s">
        <v>36</v>
      </c>
      <c r="I54" s="11" t="s">
        <v>191</v>
      </c>
      <c r="J54" s="12" t="s">
        <v>192</v>
      </c>
      <c r="K54" s="13" t="s">
        <v>39</v>
      </c>
      <c r="L54" s="11" t="str">
        <f>"000037"</f>
        <v>000037</v>
      </c>
      <c r="M54" s="10">
        <v>43277</v>
      </c>
      <c r="N54" s="11" t="str">
        <f>"000012"</f>
        <v>000012</v>
      </c>
      <c r="O54" s="10">
        <v>43277</v>
      </c>
      <c r="P54" s="11" t="str">
        <f>"000016"</f>
        <v>000016</v>
      </c>
      <c r="Q54" s="10">
        <v>43277</v>
      </c>
      <c r="R54" s="11">
        <v>16</v>
      </c>
      <c r="S54" s="11" t="str">
        <f>"006198"</f>
        <v>006198</v>
      </c>
      <c r="T54" s="10">
        <v>43377</v>
      </c>
      <c r="U54" s="14">
        <v>13.663</v>
      </c>
      <c r="V54" s="14">
        <v>0.56069999999999998</v>
      </c>
      <c r="W54" s="14">
        <v>13.1023</v>
      </c>
      <c r="X54" s="11">
        <v>227</v>
      </c>
      <c r="Y54" s="10">
        <v>43385</v>
      </c>
      <c r="Z54" s="11">
        <v>8022975812</v>
      </c>
      <c r="AA54" s="12" t="s">
        <v>193</v>
      </c>
      <c r="AB54" s="11" t="s">
        <v>63</v>
      </c>
      <c r="AC54" s="12" t="s">
        <v>64</v>
      </c>
      <c r="AD54" s="11" t="s">
        <v>43</v>
      </c>
      <c r="AE54" s="12" t="s">
        <v>44</v>
      </c>
      <c r="AF54" s="14">
        <f t="shared" si="0"/>
        <v>0.13663</v>
      </c>
      <c r="AG54" s="11" t="s">
        <v>165</v>
      </c>
    </row>
    <row r="55" spans="1:33" x14ac:dyDescent="0.2">
      <c r="A55" s="8">
        <v>6153</v>
      </c>
      <c r="B55" s="9" t="s">
        <v>190</v>
      </c>
      <c r="C55" s="10">
        <v>43385</v>
      </c>
      <c r="D55" s="11">
        <v>112</v>
      </c>
      <c r="E55" s="12" t="s">
        <v>34</v>
      </c>
      <c r="F55" s="12" t="s">
        <v>34</v>
      </c>
      <c r="G55" s="12" t="s">
        <v>35</v>
      </c>
      <c r="H55" s="12" t="s">
        <v>36</v>
      </c>
      <c r="I55" s="11" t="s">
        <v>194</v>
      </c>
      <c r="J55" s="12" t="s">
        <v>195</v>
      </c>
      <c r="K55" s="15" t="s">
        <v>149</v>
      </c>
      <c r="L55" s="11" t="str">
        <f>"000036"</f>
        <v>000036</v>
      </c>
      <c r="M55" s="10">
        <v>43277</v>
      </c>
      <c r="N55" s="11" t="str">
        <f>"000013"</f>
        <v>000013</v>
      </c>
      <c r="O55" s="10">
        <v>43277</v>
      </c>
      <c r="P55" s="11" t="str">
        <f>"000017"</f>
        <v>000017</v>
      </c>
      <c r="Q55" s="10">
        <v>43277</v>
      </c>
      <c r="R55" s="11">
        <v>16</v>
      </c>
      <c r="S55" s="11" t="str">
        <f>"006199"</f>
        <v>006199</v>
      </c>
      <c r="T55" s="10">
        <v>43377</v>
      </c>
      <c r="U55" s="14">
        <v>7.3510999999999997</v>
      </c>
      <c r="V55" s="14">
        <v>0.30209999999999998</v>
      </c>
      <c r="W55" s="14">
        <v>7.0490000000000004</v>
      </c>
      <c r="X55" s="11">
        <v>227</v>
      </c>
      <c r="Y55" s="10">
        <v>43385</v>
      </c>
      <c r="Z55" s="11">
        <v>8022975812</v>
      </c>
      <c r="AA55" s="12" t="s">
        <v>196</v>
      </c>
      <c r="AB55" s="11" t="s">
        <v>63</v>
      </c>
      <c r="AC55" s="12" t="s">
        <v>64</v>
      </c>
      <c r="AD55" s="11" t="s">
        <v>43</v>
      </c>
      <c r="AE55" s="12" t="s">
        <v>44</v>
      </c>
      <c r="AF55" s="14">
        <f t="shared" si="0"/>
        <v>7.3510999999999993E-2</v>
      </c>
      <c r="AG55" s="11" t="s">
        <v>165</v>
      </c>
    </row>
    <row r="56" spans="1:33" x14ac:dyDescent="0.2">
      <c r="A56" s="8">
        <v>6154</v>
      </c>
      <c r="B56" s="9" t="s">
        <v>190</v>
      </c>
      <c r="C56" s="10">
        <v>43385</v>
      </c>
      <c r="D56" s="11">
        <v>112</v>
      </c>
      <c r="E56" s="12" t="s">
        <v>34</v>
      </c>
      <c r="F56" s="12" t="s">
        <v>34</v>
      </c>
      <c r="G56" s="12" t="s">
        <v>35</v>
      </c>
      <c r="H56" s="12" t="s">
        <v>36</v>
      </c>
      <c r="I56" s="11" t="s">
        <v>93</v>
      </c>
      <c r="J56" s="12" t="s">
        <v>94</v>
      </c>
      <c r="K56" s="13" t="s">
        <v>39</v>
      </c>
      <c r="L56" s="11" t="str">
        <f>"000145"</f>
        <v>000145</v>
      </c>
      <c r="M56" s="10">
        <v>43182</v>
      </c>
      <c r="N56" s="11" t="str">
        <f>"000014"</f>
        <v>000014</v>
      </c>
      <c r="O56" s="10">
        <v>43277</v>
      </c>
      <c r="P56" s="11" t="str">
        <f>"000018"</f>
        <v>000018</v>
      </c>
      <c r="Q56" s="10">
        <v>43277</v>
      </c>
      <c r="R56" s="11">
        <v>16</v>
      </c>
      <c r="S56" s="11" t="str">
        <f>"006259"</f>
        <v>006259</v>
      </c>
      <c r="T56" s="10">
        <v>43380</v>
      </c>
      <c r="U56" s="14">
        <v>18.8033</v>
      </c>
      <c r="V56" s="14">
        <v>0.77100000000000002</v>
      </c>
      <c r="W56" s="14">
        <v>18.032299999999999</v>
      </c>
      <c r="X56" s="11">
        <v>228</v>
      </c>
      <c r="Y56" s="10">
        <v>43385</v>
      </c>
      <c r="Z56" s="11">
        <v>8022975812</v>
      </c>
      <c r="AA56" s="12" t="s">
        <v>95</v>
      </c>
      <c r="AB56" s="11" t="s">
        <v>63</v>
      </c>
      <c r="AC56" s="12" t="s">
        <v>64</v>
      </c>
      <c r="AD56" s="11" t="s">
        <v>43</v>
      </c>
      <c r="AE56" s="12" t="s">
        <v>44</v>
      </c>
      <c r="AF56" s="14">
        <f t="shared" si="0"/>
        <v>0.18803300000000001</v>
      </c>
      <c r="AG56" s="11" t="s">
        <v>96</v>
      </c>
    </row>
    <row r="57" spans="1:33" x14ac:dyDescent="0.2">
      <c r="A57" s="8">
        <v>6155</v>
      </c>
      <c r="B57" s="9" t="s">
        <v>190</v>
      </c>
      <c r="C57" s="10">
        <v>43385</v>
      </c>
      <c r="D57" s="11">
        <v>112</v>
      </c>
      <c r="E57" s="12" t="s">
        <v>34</v>
      </c>
      <c r="F57" s="12" t="s">
        <v>34</v>
      </c>
      <c r="G57" s="12" t="s">
        <v>35</v>
      </c>
      <c r="H57" s="12" t="s">
        <v>36</v>
      </c>
      <c r="I57" s="11" t="s">
        <v>99</v>
      </c>
      <c r="J57" s="12" t="s">
        <v>100</v>
      </c>
      <c r="K57" s="13" t="s">
        <v>39</v>
      </c>
      <c r="L57" s="11" t="str">
        <f>"000139"</f>
        <v>000139</v>
      </c>
      <c r="M57" s="10">
        <v>43181</v>
      </c>
      <c r="N57" s="11" t="str">
        <f>"000011"</f>
        <v>000011</v>
      </c>
      <c r="O57" s="10">
        <v>43277</v>
      </c>
      <c r="P57" s="11" t="str">
        <f>"000015"</f>
        <v>000015</v>
      </c>
      <c r="Q57" s="10">
        <v>43277</v>
      </c>
      <c r="R57" s="11">
        <v>16</v>
      </c>
      <c r="S57" s="11" t="str">
        <f>"006197"</f>
        <v>006197</v>
      </c>
      <c r="T57" s="10">
        <v>43377</v>
      </c>
      <c r="U57" s="14">
        <v>7.0273000000000003</v>
      </c>
      <c r="V57" s="14">
        <v>0.28889999999999999</v>
      </c>
      <c r="W57" s="14">
        <v>6.7384000000000004</v>
      </c>
      <c r="X57" s="11">
        <v>227</v>
      </c>
      <c r="Y57" s="10">
        <v>43385</v>
      </c>
      <c r="Z57" s="11">
        <v>8022975812</v>
      </c>
      <c r="AA57" s="12" t="s">
        <v>72</v>
      </c>
      <c r="AB57" s="11" t="s">
        <v>63</v>
      </c>
      <c r="AC57" s="12" t="s">
        <v>64</v>
      </c>
      <c r="AD57" s="11" t="s">
        <v>43</v>
      </c>
      <c r="AE57" s="12" t="s">
        <v>44</v>
      </c>
      <c r="AF57" s="14">
        <f t="shared" si="0"/>
        <v>7.0273000000000002E-2</v>
      </c>
      <c r="AG57" s="11" t="s">
        <v>96</v>
      </c>
    </row>
    <row r="58" spans="1:33" x14ac:dyDescent="0.2">
      <c r="A58" s="8">
        <v>6156</v>
      </c>
      <c r="B58" s="9" t="s">
        <v>190</v>
      </c>
      <c r="C58" s="10">
        <v>43385</v>
      </c>
      <c r="D58" s="11">
        <v>112</v>
      </c>
      <c r="E58" s="12" t="s">
        <v>34</v>
      </c>
      <c r="F58" s="12" t="s">
        <v>34</v>
      </c>
      <c r="G58" s="12" t="s">
        <v>35</v>
      </c>
      <c r="H58" s="12" t="s">
        <v>36</v>
      </c>
      <c r="I58" s="11" t="s">
        <v>191</v>
      </c>
      <c r="J58" s="12" t="s">
        <v>192</v>
      </c>
      <c r="K58" s="13" t="s">
        <v>39</v>
      </c>
      <c r="L58" s="11" t="str">
        <f>"000037"</f>
        <v>000037</v>
      </c>
      <c r="M58" s="10">
        <v>43277</v>
      </c>
      <c r="N58" s="11" t="str">
        <f>"000012"</f>
        <v>000012</v>
      </c>
      <c r="O58" s="10">
        <v>43277</v>
      </c>
      <c r="P58" s="11" t="str">
        <f>"000016"</f>
        <v>000016</v>
      </c>
      <c r="Q58" s="10">
        <v>43277</v>
      </c>
      <c r="R58" s="11">
        <v>16</v>
      </c>
      <c r="S58" s="11" t="str">
        <f>"006198"</f>
        <v>006198</v>
      </c>
      <c r="T58" s="10">
        <v>43377</v>
      </c>
      <c r="U58" s="14">
        <v>13.663</v>
      </c>
      <c r="V58" s="14">
        <v>0.56069999999999998</v>
      </c>
      <c r="W58" s="14">
        <v>13.1023</v>
      </c>
      <c r="X58" s="11">
        <v>227</v>
      </c>
      <c r="Y58" s="10">
        <v>43385</v>
      </c>
      <c r="Z58" s="11">
        <v>8022975812</v>
      </c>
      <c r="AA58" s="12" t="s">
        <v>193</v>
      </c>
      <c r="AB58" s="11" t="s">
        <v>63</v>
      </c>
      <c r="AC58" s="12" t="s">
        <v>64</v>
      </c>
      <c r="AD58" s="11" t="s">
        <v>43</v>
      </c>
      <c r="AE58" s="12" t="s">
        <v>44</v>
      </c>
      <c r="AF58" s="14">
        <f t="shared" si="0"/>
        <v>0.13663</v>
      </c>
      <c r="AG58" s="11" t="s">
        <v>165</v>
      </c>
    </row>
    <row r="59" spans="1:33" x14ac:dyDescent="0.2">
      <c r="A59" s="8">
        <v>6157</v>
      </c>
      <c r="B59" s="9" t="s">
        <v>190</v>
      </c>
      <c r="C59" s="10">
        <v>43385</v>
      </c>
      <c r="D59" s="11">
        <v>112</v>
      </c>
      <c r="E59" s="12" t="s">
        <v>34</v>
      </c>
      <c r="F59" s="12" t="s">
        <v>34</v>
      </c>
      <c r="G59" s="12" t="s">
        <v>35</v>
      </c>
      <c r="H59" s="12" t="s">
        <v>36</v>
      </c>
      <c r="I59" s="11" t="s">
        <v>194</v>
      </c>
      <c r="J59" s="12" t="s">
        <v>195</v>
      </c>
      <c r="K59" s="15" t="s">
        <v>149</v>
      </c>
      <c r="L59" s="11" t="str">
        <f>"000036"</f>
        <v>000036</v>
      </c>
      <c r="M59" s="10">
        <v>43277</v>
      </c>
      <c r="N59" s="11" t="str">
        <f>"000013"</f>
        <v>000013</v>
      </c>
      <c r="O59" s="10">
        <v>43277</v>
      </c>
      <c r="P59" s="11" t="str">
        <f>"000017"</f>
        <v>000017</v>
      </c>
      <c r="Q59" s="10">
        <v>43277</v>
      </c>
      <c r="R59" s="11">
        <v>16</v>
      </c>
      <c r="S59" s="11" t="str">
        <f>"006199"</f>
        <v>006199</v>
      </c>
      <c r="T59" s="10">
        <v>43377</v>
      </c>
      <c r="U59" s="14">
        <v>7.3510999999999997</v>
      </c>
      <c r="V59" s="14">
        <v>0.30209999999999998</v>
      </c>
      <c r="W59" s="14">
        <v>7.0490000000000004</v>
      </c>
      <c r="X59" s="11">
        <v>227</v>
      </c>
      <c r="Y59" s="10">
        <v>43385</v>
      </c>
      <c r="Z59" s="11">
        <v>8022975812</v>
      </c>
      <c r="AA59" s="12" t="s">
        <v>196</v>
      </c>
      <c r="AB59" s="11" t="s">
        <v>63</v>
      </c>
      <c r="AC59" s="12" t="s">
        <v>64</v>
      </c>
      <c r="AD59" s="11" t="s">
        <v>43</v>
      </c>
      <c r="AE59" s="12" t="s">
        <v>44</v>
      </c>
      <c r="AF59" s="14">
        <f t="shared" si="0"/>
        <v>7.3510999999999993E-2</v>
      </c>
      <c r="AG59" s="11" t="s">
        <v>165</v>
      </c>
    </row>
    <row r="60" spans="1:33" x14ac:dyDescent="0.2">
      <c r="A60" s="8">
        <v>6158</v>
      </c>
      <c r="B60" s="9" t="s">
        <v>190</v>
      </c>
      <c r="C60" s="10">
        <v>43385</v>
      </c>
      <c r="D60" s="11">
        <v>112</v>
      </c>
      <c r="E60" s="12" t="s">
        <v>34</v>
      </c>
      <c r="F60" s="12" t="s">
        <v>34</v>
      </c>
      <c r="G60" s="12" t="s">
        <v>35</v>
      </c>
      <c r="H60" s="12" t="s">
        <v>36</v>
      </c>
      <c r="I60" s="11" t="s">
        <v>93</v>
      </c>
      <c r="J60" s="12" t="s">
        <v>94</v>
      </c>
      <c r="K60" s="13" t="s">
        <v>39</v>
      </c>
      <c r="L60" s="11" t="str">
        <f>"000145"</f>
        <v>000145</v>
      </c>
      <c r="M60" s="10">
        <v>43182</v>
      </c>
      <c r="N60" s="11" t="str">
        <f>"000014"</f>
        <v>000014</v>
      </c>
      <c r="O60" s="10">
        <v>43277</v>
      </c>
      <c r="P60" s="11" t="str">
        <f>"000018"</f>
        <v>000018</v>
      </c>
      <c r="Q60" s="10">
        <v>43277</v>
      </c>
      <c r="R60" s="11">
        <v>16</v>
      </c>
      <c r="S60" s="11" t="str">
        <f>"006259"</f>
        <v>006259</v>
      </c>
      <c r="T60" s="10">
        <v>43380</v>
      </c>
      <c r="U60" s="14">
        <v>18.8033</v>
      </c>
      <c r="V60" s="14">
        <v>0.77100000000000002</v>
      </c>
      <c r="W60" s="14">
        <v>18.032299999999999</v>
      </c>
      <c r="X60" s="11">
        <v>228</v>
      </c>
      <c r="Y60" s="10">
        <v>43385</v>
      </c>
      <c r="Z60" s="11">
        <v>8022975812</v>
      </c>
      <c r="AA60" s="12" t="s">
        <v>95</v>
      </c>
      <c r="AB60" s="11" t="s">
        <v>63</v>
      </c>
      <c r="AC60" s="12" t="s">
        <v>64</v>
      </c>
      <c r="AD60" s="11" t="s">
        <v>43</v>
      </c>
      <c r="AE60" s="12" t="s">
        <v>44</v>
      </c>
      <c r="AF60" s="14">
        <f t="shared" si="0"/>
        <v>0.18803300000000001</v>
      </c>
      <c r="AG60" s="11" t="s">
        <v>96</v>
      </c>
    </row>
    <row r="61" spans="1:33" x14ac:dyDescent="0.2">
      <c r="A61" s="8">
        <v>6159</v>
      </c>
      <c r="B61" s="9" t="s">
        <v>190</v>
      </c>
      <c r="C61" s="10">
        <v>43385</v>
      </c>
      <c r="D61" s="11">
        <v>112</v>
      </c>
      <c r="E61" s="12" t="s">
        <v>34</v>
      </c>
      <c r="F61" s="12" t="s">
        <v>34</v>
      </c>
      <c r="G61" s="12" t="s">
        <v>35</v>
      </c>
      <c r="H61" s="12" t="s">
        <v>36</v>
      </c>
      <c r="I61" s="11" t="s">
        <v>37</v>
      </c>
      <c r="J61" s="12" t="s">
        <v>197</v>
      </c>
      <c r="K61" s="13" t="s">
        <v>39</v>
      </c>
      <c r="L61" s="11" t="str">
        <f>"000084"</f>
        <v>000084</v>
      </c>
      <c r="M61" s="10">
        <v>43087</v>
      </c>
      <c r="N61" s="11" t="str">
        <f>"000056"</f>
        <v>000056</v>
      </c>
      <c r="O61" s="10">
        <v>43087</v>
      </c>
      <c r="P61" s="11" t="str">
        <f>"000074"</f>
        <v>000074</v>
      </c>
      <c r="Q61" s="10">
        <v>43087</v>
      </c>
      <c r="R61" s="11">
        <v>17</v>
      </c>
      <c r="S61" s="11" t="str">
        <f>"008779"</f>
        <v>008779</v>
      </c>
      <c r="T61" s="10">
        <v>43098</v>
      </c>
      <c r="U61" s="14">
        <v>3.4807000000000001</v>
      </c>
      <c r="V61" s="14">
        <v>0.34810000000000002</v>
      </c>
      <c r="W61" s="14">
        <v>3.1326000000000001</v>
      </c>
      <c r="X61" s="11">
        <v>233</v>
      </c>
      <c r="Y61" s="10">
        <v>43385</v>
      </c>
      <c r="Z61" s="11">
        <v>8022975812</v>
      </c>
      <c r="AA61" s="12" t="s">
        <v>198</v>
      </c>
      <c r="AB61" s="11" t="s">
        <v>41</v>
      </c>
      <c r="AC61" s="12" t="s">
        <v>42</v>
      </c>
      <c r="AD61" s="11" t="s">
        <v>43</v>
      </c>
      <c r="AE61" s="12" t="s">
        <v>44</v>
      </c>
      <c r="AF61" s="14">
        <f t="shared" si="0"/>
        <v>3.4807000000000005E-2</v>
      </c>
      <c r="AG61" s="11" t="s">
        <v>45</v>
      </c>
    </row>
    <row r="62" spans="1:33" x14ac:dyDescent="0.2">
      <c r="A62" s="8">
        <v>6160</v>
      </c>
      <c r="B62" s="9" t="s">
        <v>190</v>
      </c>
      <c r="C62" s="10">
        <v>43385</v>
      </c>
      <c r="D62" s="11">
        <v>112</v>
      </c>
      <c r="E62" s="12" t="s">
        <v>34</v>
      </c>
      <c r="F62" s="12" t="s">
        <v>34</v>
      </c>
      <c r="G62" s="12" t="s">
        <v>35</v>
      </c>
      <c r="H62" s="12" t="s">
        <v>36</v>
      </c>
      <c r="I62" s="11" t="s">
        <v>47</v>
      </c>
      <c r="J62" s="12" t="s">
        <v>48</v>
      </c>
      <c r="K62" s="13" t="s">
        <v>39</v>
      </c>
      <c r="L62" s="11" t="str">
        <f>"000118"</f>
        <v>000118</v>
      </c>
      <c r="M62" s="10">
        <v>43144</v>
      </c>
      <c r="N62" s="11" t="str">
        <f>"000079"</f>
        <v>000079</v>
      </c>
      <c r="O62" s="10">
        <v>43145</v>
      </c>
      <c r="P62" s="11" t="str">
        <f>"000107"</f>
        <v>000107</v>
      </c>
      <c r="Q62" s="10">
        <v>43145</v>
      </c>
      <c r="R62" s="11">
        <v>17</v>
      </c>
      <c r="S62" s="11" t="str">
        <f>"000342"</f>
        <v>000342</v>
      </c>
      <c r="T62" s="10">
        <v>43196</v>
      </c>
      <c r="U62" s="14">
        <v>2.8435000000000001</v>
      </c>
      <c r="V62" s="14">
        <v>0.28439999999999999</v>
      </c>
      <c r="W62" s="14">
        <v>2.5590999999999999</v>
      </c>
      <c r="X62" s="11">
        <v>233</v>
      </c>
      <c r="Y62" s="10">
        <v>43385</v>
      </c>
      <c r="Z62" s="11">
        <v>8022975812</v>
      </c>
      <c r="AA62" s="12" t="s">
        <v>199</v>
      </c>
      <c r="AB62" s="11" t="s">
        <v>41</v>
      </c>
      <c r="AC62" s="12" t="s">
        <v>42</v>
      </c>
      <c r="AD62" s="11" t="s">
        <v>43</v>
      </c>
      <c r="AE62" s="12" t="s">
        <v>44</v>
      </c>
      <c r="AF62" s="14">
        <f t="shared" si="0"/>
        <v>2.8435000000000002E-2</v>
      </c>
      <c r="AG62" s="11" t="s">
        <v>45</v>
      </c>
    </row>
    <row r="63" spans="1:33" x14ac:dyDescent="0.2">
      <c r="A63" s="8">
        <v>6571</v>
      </c>
      <c r="B63" s="9" t="s">
        <v>190</v>
      </c>
      <c r="C63" s="10">
        <v>43389</v>
      </c>
      <c r="D63" s="11">
        <v>112</v>
      </c>
      <c r="E63" s="12" t="s">
        <v>34</v>
      </c>
      <c r="F63" s="12" t="s">
        <v>34</v>
      </c>
      <c r="G63" s="12" t="s">
        <v>35</v>
      </c>
      <c r="H63" s="12" t="s">
        <v>36</v>
      </c>
      <c r="I63" s="11" t="s">
        <v>200</v>
      </c>
      <c r="J63" s="12" t="s">
        <v>201</v>
      </c>
      <c r="K63" s="13" t="s">
        <v>171</v>
      </c>
      <c r="L63" s="11" t="str">
        <f>"000117"</f>
        <v>000117</v>
      </c>
      <c r="M63" s="10">
        <v>43138</v>
      </c>
      <c r="N63" s="11" t="str">
        <f>"000078"</f>
        <v>000078</v>
      </c>
      <c r="O63" s="10">
        <v>43138</v>
      </c>
      <c r="P63" s="11" t="str">
        <f>"000106"</f>
        <v>000106</v>
      </c>
      <c r="Q63" s="10">
        <v>43138</v>
      </c>
      <c r="R63" s="11">
        <v>18</v>
      </c>
      <c r="S63" s="11" t="str">
        <f>"006588"</f>
        <v>006588</v>
      </c>
      <c r="T63" s="10">
        <v>43383</v>
      </c>
      <c r="U63" s="14">
        <v>14.5494</v>
      </c>
      <c r="V63" s="14">
        <v>1.3275999999999999</v>
      </c>
      <c r="W63" s="14">
        <v>13.2218</v>
      </c>
      <c r="X63" s="11">
        <v>241</v>
      </c>
      <c r="Y63" s="10">
        <v>43389</v>
      </c>
      <c r="Z63" s="11">
        <v>8022975812</v>
      </c>
      <c r="AA63" s="12" t="s">
        <v>202</v>
      </c>
      <c r="AB63" s="11" t="s">
        <v>173</v>
      </c>
      <c r="AC63" s="12" t="s">
        <v>174</v>
      </c>
      <c r="AD63" s="11" t="s">
        <v>43</v>
      </c>
      <c r="AE63" s="12" t="s">
        <v>44</v>
      </c>
      <c r="AF63" s="14">
        <f t="shared" si="0"/>
        <v>0.14549400000000001</v>
      </c>
      <c r="AG63" s="11" t="s">
        <v>45</v>
      </c>
    </row>
    <row r="64" spans="1:33" x14ac:dyDescent="0.2">
      <c r="A64" s="8">
        <v>6758</v>
      </c>
      <c r="B64" s="9" t="s">
        <v>190</v>
      </c>
      <c r="C64" s="10">
        <v>43390</v>
      </c>
      <c r="D64" s="11">
        <v>112</v>
      </c>
      <c r="E64" s="12" t="s">
        <v>34</v>
      </c>
      <c r="F64" s="12" t="s">
        <v>34</v>
      </c>
      <c r="G64" s="12" t="s">
        <v>35</v>
      </c>
      <c r="H64" s="12" t="s">
        <v>36</v>
      </c>
      <c r="I64" s="11" t="s">
        <v>50</v>
      </c>
      <c r="J64" s="12" t="s">
        <v>51</v>
      </c>
      <c r="K64" s="13" t="s">
        <v>52</v>
      </c>
      <c r="L64" s="11" t="str">
        <f>"000135"</f>
        <v>000135</v>
      </c>
      <c r="M64" s="10">
        <v>43181</v>
      </c>
      <c r="N64" s="11" t="str">
        <f>"000039"</f>
        <v>000039</v>
      </c>
      <c r="O64" s="10">
        <v>43362</v>
      </c>
      <c r="P64" s="11" t="str">
        <f>"000053"</f>
        <v>000053</v>
      </c>
      <c r="Q64" s="10">
        <v>43362</v>
      </c>
      <c r="R64" s="11">
        <v>17</v>
      </c>
      <c r="S64" s="11" t="str">
        <f>"006812"</f>
        <v>006812</v>
      </c>
      <c r="T64" s="10">
        <v>43389</v>
      </c>
      <c r="U64" s="14">
        <v>70.440899999999999</v>
      </c>
      <c r="V64" s="14">
        <v>6.3907499999999997</v>
      </c>
      <c r="W64" s="14">
        <v>64.050150000000002</v>
      </c>
      <c r="X64" s="11">
        <v>245</v>
      </c>
      <c r="Y64" s="10">
        <v>43390</v>
      </c>
      <c r="Z64" s="11">
        <v>8022975812</v>
      </c>
      <c r="AA64" s="12" t="s">
        <v>53</v>
      </c>
      <c r="AB64" s="11" t="s">
        <v>54</v>
      </c>
      <c r="AC64" s="12" t="s">
        <v>55</v>
      </c>
      <c r="AD64" s="11" t="s">
        <v>43</v>
      </c>
      <c r="AE64" s="12" t="s">
        <v>44</v>
      </c>
      <c r="AF64" s="14">
        <f t="shared" si="0"/>
        <v>0.70440899999999995</v>
      </c>
      <c r="AG64" s="11" t="s">
        <v>96</v>
      </c>
    </row>
    <row r="65" spans="1:33" x14ac:dyDescent="0.2">
      <c r="A65" s="8">
        <v>6759</v>
      </c>
      <c r="B65" s="9" t="s">
        <v>190</v>
      </c>
      <c r="C65" s="10">
        <v>43390</v>
      </c>
      <c r="D65" s="11">
        <v>112</v>
      </c>
      <c r="E65" s="12" t="s">
        <v>34</v>
      </c>
      <c r="F65" s="12" t="s">
        <v>34</v>
      </c>
      <c r="G65" s="12" t="s">
        <v>35</v>
      </c>
      <c r="H65" s="12" t="s">
        <v>36</v>
      </c>
      <c r="I65" s="11" t="s">
        <v>203</v>
      </c>
      <c r="J65" s="12" t="s">
        <v>204</v>
      </c>
      <c r="K65" s="13" t="s">
        <v>52</v>
      </c>
      <c r="L65" s="11" t="str">
        <f>"000076"</f>
        <v>000076</v>
      </c>
      <c r="M65" s="10">
        <v>43349</v>
      </c>
      <c r="N65" s="11" t="str">
        <f>"000151"</f>
        <v>000151</v>
      </c>
      <c r="O65" s="10">
        <v>43370</v>
      </c>
      <c r="P65" s="11" t="str">
        <f>"000154"</f>
        <v>000154</v>
      </c>
      <c r="Q65" s="10">
        <v>43372</v>
      </c>
      <c r="R65" s="11">
        <v>18</v>
      </c>
      <c r="S65" s="11" t="str">
        <f>"006824"</f>
        <v>006824</v>
      </c>
      <c r="T65" s="10">
        <v>43389</v>
      </c>
      <c r="U65" s="14">
        <v>9.92211</v>
      </c>
      <c r="V65" s="14">
        <v>1.25376</v>
      </c>
      <c r="W65" s="14">
        <v>8.6683500000000002</v>
      </c>
      <c r="X65" s="11">
        <v>245</v>
      </c>
      <c r="Y65" s="10">
        <v>43390</v>
      </c>
      <c r="Z65" s="11">
        <v>9945525730</v>
      </c>
      <c r="AA65" s="12" t="s">
        <v>205</v>
      </c>
      <c r="AB65" s="11" t="s">
        <v>206</v>
      </c>
      <c r="AC65" s="12" t="s">
        <v>207</v>
      </c>
      <c r="AD65" s="11" t="s">
        <v>160</v>
      </c>
      <c r="AE65" s="12" t="s">
        <v>161</v>
      </c>
      <c r="AF65" s="14">
        <f t="shared" si="0"/>
        <v>9.9221100000000007E-2</v>
      </c>
      <c r="AG65" s="11" t="s">
        <v>165</v>
      </c>
    </row>
    <row r="66" spans="1:33" x14ac:dyDescent="0.2">
      <c r="A66" s="8">
        <v>7092</v>
      </c>
      <c r="B66" s="9" t="s">
        <v>190</v>
      </c>
      <c r="C66" s="10">
        <v>43404</v>
      </c>
      <c r="D66" s="11">
        <v>112</v>
      </c>
      <c r="E66" s="12" t="s">
        <v>34</v>
      </c>
      <c r="F66" s="12" t="s">
        <v>34</v>
      </c>
      <c r="G66" s="12" t="s">
        <v>35</v>
      </c>
      <c r="H66" s="12" t="s">
        <v>36</v>
      </c>
      <c r="I66" s="11" t="s">
        <v>208</v>
      </c>
      <c r="J66" s="12" t="s">
        <v>209</v>
      </c>
      <c r="K66" s="13" t="s">
        <v>210</v>
      </c>
      <c r="L66" s="11" t="str">
        <f>"000030"</f>
        <v>000030</v>
      </c>
      <c r="M66" s="10">
        <v>43269</v>
      </c>
      <c r="N66" s="11" t="str">
        <f>"000027"</f>
        <v>000027</v>
      </c>
      <c r="O66" s="10">
        <v>43321</v>
      </c>
      <c r="P66" s="11" t="str">
        <f>"000034"</f>
        <v>000034</v>
      </c>
      <c r="Q66" s="10">
        <v>43321</v>
      </c>
      <c r="R66" s="11">
        <v>18</v>
      </c>
      <c r="S66" s="11" t="str">
        <f>"007094"</f>
        <v>007094</v>
      </c>
      <c r="T66" s="10">
        <v>43402</v>
      </c>
      <c r="U66" s="14">
        <v>29.695</v>
      </c>
      <c r="V66" s="14">
        <v>2.7058</v>
      </c>
      <c r="W66" s="14">
        <v>26.9892</v>
      </c>
      <c r="X66" s="11">
        <v>260</v>
      </c>
      <c r="Y66" s="10">
        <v>43404</v>
      </c>
      <c r="Z66" s="11">
        <v>8022975812</v>
      </c>
      <c r="AA66" s="12" t="s">
        <v>202</v>
      </c>
      <c r="AB66" s="11" t="s">
        <v>63</v>
      </c>
      <c r="AC66" s="12" t="s">
        <v>64</v>
      </c>
      <c r="AD66" s="11" t="s">
        <v>43</v>
      </c>
      <c r="AE66" s="12" t="s">
        <v>44</v>
      </c>
      <c r="AF66" s="14">
        <f t="shared" si="0"/>
        <v>0.29694999999999999</v>
      </c>
      <c r="AG66" s="11" t="s">
        <v>165</v>
      </c>
    </row>
    <row r="67" spans="1:33" x14ac:dyDescent="0.2">
      <c r="A67" s="8">
        <v>7243</v>
      </c>
      <c r="B67" s="9" t="s">
        <v>211</v>
      </c>
      <c r="C67" s="10">
        <v>43420</v>
      </c>
      <c r="D67" s="11">
        <v>112</v>
      </c>
      <c r="E67" s="12" t="s">
        <v>34</v>
      </c>
      <c r="F67" s="12" t="s">
        <v>34</v>
      </c>
      <c r="G67" s="12" t="s">
        <v>35</v>
      </c>
      <c r="H67" s="12" t="s">
        <v>36</v>
      </c>
      <c r="I67" s="11" t="s">
        <v>212</v>
      </c>
      <c r="J67" s="12" t="s">
        <v>213</v>
      </c>
      <c r="K67" s="13" t="s">
        <v>39</v>
      </c>
      <c r="L67" s="11" t="str">
        <f>"000138"</f>
        <v>000138</v>
      </c>
      <c r="M67" s="10">
        <v>42852</v>
      </c>
      <c r="N67" s="11" t="str">
        <f>"000004"</f>
        <v>000004</v>
      </c>
      <c r="O67" s="10">
        <v>42885</v>
      </c>
      <c r="P67" s="11" t="str">
        <f>"000025"</f>
        <v>000025</v>
      </c>
      <c r="Q67" s="10">
        <v>42885</v>
      </c>
      <c r="R67" s="11">
        <v>17</v>
      </c>
      <c r="S67" s="11" t="str">
        <f>"007276"</f>
        <v>007276</v>
      </c>
      <c r="T67" s="10">
        <v>43407</v>
      </c>
      <c r="U67" s="14">
        <v>19.498000000000001</v>
      </c>
      <c r="V67" s="14">
        <v>1.3454200000000001</v>
      </c>
      <c r="W67" s="14">
        <v>18.15258</v>
      </c>
      <c r="X67" s="11">
        <v>266</v>
      </c>
      <c r="Y67" s="10">
        <v>43420</v>
      </c>
      <c r="Z67" s="11">
        <v>8022975812</v>
      </c>
      <c r="AA67" s="12" t="s">
        <v>214</v>
      </c>
      <c r="AB67" s="11" t="s">
        <v>129</v>
      </c>
      <c r="AC67" s="12" t="s">
        <v>130</v>
      </c>
      <c r="AD67" s="11" t="s">
        <v>43</v>
      </c>
      <c r="AE67" s="12" t="s">
        <v>44</v>
      </c>
      <c r="AF67" s="14">
        <f t="shared" si="0"/>
        <v>0.19498000000000001</v>
      </c>
      <c r="AG67" s="11" t="s">
        <v>45</v>
      </c>
    </row>
    <row r="68" spans="1:33" x14ac:dyDescent="0.2">
      <c r="A68" s="8">
        <v>7661</v>
      </c>
      <c r="B68" s="9" t="s">
        <v>215</v>
      </c>
      <c r="C68" s="10">
        <v>43441</v>
      </c>
      <c r="D68" s="11">
        <v>112</v>
      </c>
      <c r="E68" s="12" t="s">
        <v>34</v>
      </c>
      <c r="F68" s="12" t="s">
        <v>34</v>
      </c>
      <c r="G68" s="12" t="s">
        <v>35</v>
      </c>
      <c r="H68" s="12" t="s">
        <v>36</v>
      </c>
      <c r="I68" s="11" t="s">
        <v>216</v>
      </c>
      <c r="J68" s="12" t="s">
        <v>217</v>
      </c>
      <c r="K68" s="15" t="s">
        <v>149</v>
      </c>
      <c r="L68" s="11" t="str">
        <f>"000007"</f>
        <v>000007</v>
      </c>
      <c r="M68" s="10">
        <v>43197</v>
      </c>
      <c r="N68" s="11" t="str">
        <f>"000043"</f>
        <v>000043</v>
      </c>
      <c r="O68" s="10">
        <v>43406</v>
      </c>
      <c r="P68" s="11" t="str">
        <f>"000060"</f>
        <v>000060</v>
      </c>
      <c r="Q68" s="10">
        <v>43406</v>
      </c>
      <c r="R68" s="11">
        <v>17</v>
      </c>
      <c r="S68" s="11" t="str">
        <f>"007687"</f>
        <v>007687</v>
      </c>
      <c r="T68" s="10">
        <v>43438</v>
      </c>
      <c r="U68" s="14">
        <v>33.343600000000002</v>
      </c>
      <c r="V68" s="14">
        <v>1.6524000000000001</v>
      </c>
      <c r="W68" s="14">
        <v>31.691199999999998</v>
      </c>
      <c r="X68" s="11">
        <v>287</v>
      </c>
      <c r="Y68" s="10">
        <v>43441</v>
      </c>
      <c r="Z68" s="11">
        <v>8022975812</v>
      </c>
      <c r="AA68" s="12" t="s">
        <v>218</v>
      </c>
      <c r="AB68" s="11" t="s">
        <v>54</v>
      </c>
      <c r="AC68" s="12" t="s">
        <v>55</v>
      </c>
      <c r="AD68" s="11" t="s">
        <v>43</v>
      </c>
      <c r="AE68" s="12" t="s">
        <v>44</v>
      </c>
      <c r="AF68" s="14">
        <f t="shared" si="0"/>
        <v>0.33343600000000001</v>
      </c>
      <c r="AG68" s="11" t="s">
        <v>165</v>
      </c>
    </row>
    <row r="69" spans="1:33" x14ac:dyDescent="0.2">
      <c r="A69" s="8">
        <v>8381</v>
      </c>
      <c r="B69" s="9" t="s">
        <v>219</v>
      </c>
      <c r="C69" s="10">
        <v>43469</v>
      </c>
      <c r="D69" s="11">
        <v>112</v>
      </c>
      <c r="E69" s="12" t="s">
        <v>34</v>
      </c>
      <c r="F69" s="12" t="s">
        <v>34</v>
      </c>
      <c r="G69" s="12" t="s">
        <v>35</v>
      </c>
      <c r="H69" s="12" t="s">
        <v>36</v>
      </c>
      <c r="I69" s="11" t="s">
        <v>220</v>
      </c>
      <c r="J69" s="12" t="s">
        <v>221</v>
      </c>
      <c r="K69" s="13" t="s">
        <v>106</v>
      </c>
      <c r="L69" s="11" t="str">
        <f>"000043"</f>
        <v>000043</v>
      </c>
      <c r="M69" s="10">
        <v>43419</v>
      </c>
      <c r="N69" s="11" t="str">
        <f>"000025"</f>
        <v>000025</v>
      </c>
      <c r="O69" s="10">
        <v>43419</v>
      </c>
      <c r="P69" s="11" t="str">
        <f>"000046"</f>
        <v>000046</v>
      </c>
      <c r="Q69" s="10">
        <v>43419</v>
      </c>
      <c r="R69" s="11"/>
      <c r="S69" s="11" t="str">
        <f>"008475"</f>
        <v>008475</v>
      </c>
      <c r="T69" s="10">
        <v>43467</v>
      </c>
      <c r="U69" s="14">
        <v>49.977699999999999</v>
      </c>
      <c r="V69" s="14">
        <v>5.3046499999999996</v>
      </c>
      <c r="W69" s="14">
        <v>44.673050000000003</v>
      </c>
      <c r="X69" s="11">
        <v>314</v>
      </c>
      <c r="Y69" s="10">
        <v>43469</v>
      </c>
      <c r="Z69" s="11">
        <v>8022975815</v>
      </c>
      <c r="AA69" s="12" t="s">
        <v>177</v>
      </c>
      <c r="AB69" s="11" t="s">
        <v>41</v>
      </c>
      <c r="AC69" s="12" t="s">
        <v>42</v>
      </c>
      <c r="AD69" s="11" t="s">
        <v>110</v>
      </c>
      <c r="AE69" s="12" t="s">
        <v>111</v>
      </c>
      <c r="AF69" s="14">
        <f t="shared" si="0"/>
        <v>0.49977699999999997</v>
      </c>
      <c r="AG69" s="11" t="s">
        <v>165</v>
      </c>
    </row>
    <row r="70" spans="1:33" x14ac:dyDescent="0.2">
      <c r="A70" s="8">
        <v>9241</v>
      </c>
      <c r="B70" s="9" t="s">
        <v>222</v>
      </c>
      <c r="C70" s="10">
        <v>43519</v>
      </c>
      <c r="D70" s="11">
        <v>112</v>
      </c>
      <c r="E70" s="12" t="s">
        <v>34</v>
      </c>
      <c r="F70" s="12" t="s">
        <v>34</v>
      </c>
      <c r="G70" s="12" t="s">
        <v>35</v>
      </c>
      <c r="H70" s="12" t="s">
        <v>36</v>
      </c>
      <c r="I70" s="11" t="s">
        <v>223</v>
      </c>
      <c r="J70" s="12" t="s">
        <v>224</v>
      </c>
      <c r="K70" s="13" t="s">
        <v>225</v>
      </c>
      <c r="L70" s="11" t="str">
        <f>"000070"</f>
        <v>000070</v>
      </c>
      <c r="M70" s="10">
        <v>43355</v>
      </c>
      <c r="N70" s="11" t="str">
        <f>"000056"</f>
        <v>000056</v>
      </c>
      <c r="O70" s="10">
        <v>43514</v>
      </c>
      <c r="P70" s="11" t="str">
        <f>"000096"</f>
        <v>000096</v>
      </c>
      <c r="Q70" s="10">
        <v>43514</v>
      </c>
      <c r="R70" s="11"/>
      <c r="S70" s="11" t="str">
        <f>"009353"</f>
        <v>009353</v>
      </c>
      <c r="T70" s="10">
        <v>43518</v>
      </c>
      <c r="U70" s="14">
        <v>128.9264</v>
      </c>
      <c r="V70" s="14">
        <v>6.18865</v>
      </c>
      <c r="W70" s="14">
        <v>122.73775000000001</v>
      </c>
      <c r="X70" s="11">
        <v>357</v>
      </c>
      <c r="Y70" s="10">
        <v>43519</v>
      </c>
      <c r="Z70" s="11">
        <v>8022975812</v>
      </c>
      <c r="AA70" s="12" t="s">
        <v>226</v>
      </c>
      <c r="AB70" s="11" t="s">
        <v>227</v>
      </c>
      <c r="AC70" s="12" t="s">
        <v>228</v>
      </c>
      <c r="AD70" s="11" t="s">
        <v>43</v>
      </c>
      <c r="AE70" s="12" t="s">
        <v>44</v>
      </c>
      <c r="AF70" s="14">
        <f t="shared" si="0"/>
        <v>1.289264</v>
      </c>
      <c r="AG70" s="11" t="s">
        <v>165</v>
      </c>
    </row>
    <row r="71" spans="1:33" x14ac:dyDescent="0.2">
      <c r="A71" s="8">
        <v>9307</v>
      </c>
      <c r="B71" s="9" t="s">
        <v>222</v>
      </c>
      <c r="C71" s="10">
        <v>43521</v>
      </c>
      <c r="D71" s="11">
        <v>112</v>
      </c>
      <c r="E71" s="12" t="s">
        <v>34</v>
      </c>
      <c r="F71" s="12" t="s">
        <v>34</v>
      </c>
      <c r="G71" s="12" t="s">
        <v>35</v>
      </c>
      <c r="H71" s="12" t="s">
        <v>36</v>
      </c>
      <c r="I71" s="11" t="s">
        <v>229</v>
      </c>
      <c r="J71" s="12" t="s">
        <v>230</v>
      </c>
      <c r="K71" s="13" t="s">
        <v>52</v>
      </c>
      <c r="L71" s="11" t="str">
        <f>"08-136"</f>
        <v>08-136</v>
      </c>
      <c r="M71" s="10">
        <v>42835</v>
      </c>
      <c r="N71" s="11" t="str">
        <f>"000023"</f>
        <v>000023</v>
      </c>
      <c r="O71" s="10">
        <v>42916</v>
      </c>
      <c r="P71" s="11" t="str">
        <f>"000055"</f>
        <v>000055</v>
      </c>
      <c r="Q71" s="10">
        <v>42916</v>
      </c>
      <c r="R71" s="11"/>
      <c r="S71" s="11" t="str">
        <f>"009408"</f>
        <v>009408</v>
      </c>
      <c r="T71" s="10">
        <v>43518</v>
      </c>
      <c r="U71" s="14">
        <v>14.35065</v>
      </c>
      <c r="V71" s="14">
        <v>0.98029999999999995</v>
      </c>
      <c r="W71" s="14">
        <v>13.37035</v>
      </c>
      <c r="X71" s="11">
        <v>359</v>
      </c>
      <c r="Y71" s="10">
        <v>43521</v>
      </c>
      <c r="Z71" s="11">
        <v>8022975812</v>
      </c>
      <c r="AA71" s="12" t="s">
        <v>231</v>
      </c>
      <c r="AB71" s="11" t="s">
        <v>129</v>
      </c>
      <c r="AC71" s="12" t="s">
        <v>130</v>
      </c>
      <c r="AD71" s="11" t="s">
        <v>43</v>
      </c>
      <c r="AE71" s="12" t="s">
        <v>44</v>
      </c>
      <c r="AF71" s="14">
        <f t="shared" si="0"/>
        <v>0.14350650000000001</v>
      </c>
      <c r="AG71" s="11" t="s">
        <v>45</v>
      </c>
    </row>
    <row r="72" spans="1:33" x14ac:dyDescent="0.2">
      <c r="A72" s="8">
        <v>9777</v>
      </c>
      <c r="B72" s="9" t="s">
        <v>232</v>
      </c>
      <c r="C72" s="10">
        <v>43544</v>
      </c>
      <c r="D72" s="11">
        <v>112</v>
      </c>
      <c r="E72" s="12" t="s">
        <v>34</v>
      </c>
      <c r="F72" s="12" t="s">
        <v>34</v>
      </c>
      <c r="G72" s="12" t="s">
        <v>35</v>
      </c>
      <c r="H72" s="12" t="s">
        <v>36</v>
      </c>
      <c r="I72" s="11" t="s">
        <v>233</v>
      </c>
      <c r="J72" s="12" t="s">
        <v>234</v>
      </c>
      <c r="K72" s="13" t="s">
        <v>106</v>
      </c>
      <c r="L72" s="11" t="str">
        <f>"000056"</f>
        <v>000056</v>
      </c>
      <c r="M72" s="10">
        <v>43196</v>
      </c>
      <c r="N72" s="11" t="str">
        <f>"000024"</f>
        <v>000024</v>
      </c>
      <c r="O72" s="10">
        <v>43373</v>
      </c>
      <c r="P72" s="11" t="str">
        <f>"000044"</f>
        <v>000044</v>
      </c>
      <c r="Q72" s="10">
        <v>43376</v>
      </c>
      <c r="R72" s="11"/>
      <c r="S72" s="11" t="str">
        <f>"009661"</f>
        <v>009661</v>
      </c>
      <c r="T72" s="10">
        <v>43536</v>
      </c>
      <c r="U72" s="14">
        <v>59.935000000000002</v>
      </c>
      <c r="V72" s="14">
        <v>6.3143599999999998</v>
      </c>
      <c r="W72" s="14">
        <v>53.620640000000002</v>
      </c>
      <c r="X72" s="11">
        <v>379</v>
      </c>
      <c r="Y72" s="10">
        <v>43544</v>
      </c>
      <c r="Z72" s="11">
        <v>822975815</v>
      </c>
      <c r="AA72" s="12" t="s">
        <v>177</v>
      </c>
      <c r="AB72" s="11" t="s">
        <v>178</v>
      </c>
      <c r="AC72" s="12" t="s">
        <v>179</v>
      </c>
      <c r="AD72" s="11" t="s">
        <v>110</v>
      </c>
      <c r="AE72" s="12" t="s">
        <v>111</v>
      </c>
      <c r="AF72" s="14">
        <f t="shared" si="0"/>
        <v>0.59935000000000005</v>
      </c>
      <c r="AG72" s="11" t="s">
        <v>165</v>
      </c>
    </row>
    <row r="73" spans="1:33" x14ac:dyDescent="0.2">
      <c r="A73" s="8">
        <v>9837</v>
      </c>
      <c r="B73" s="9" t="s">
        <v>232</v>
      </c>
      <c r="C73" s="10">
        <v>43546</v>
      </c>
      <c r="D73" s="11">
        <v>112</v>
      </c>
      <c r="E73" s="12" t="s">
        <v>34</v>
      </c>
      <c r="F73" s="12" t="s">
        <v>34</v>
      </c>
      <c r="G73" s="12" t="s">
        <v>35</v>
      </c>
      <c r="H73" s="12" t="s">
        <v>36</v>
      </c>
      <c r="I73" s="11" t="s">
        <v>235</v>
      </c>
      <c r="J73" s="12" t="s">
        <v>236</v>
      </c>
      <c r="K73" s="13" t="s">
        <v>237</v>
      </c>
      <c r="L73" s="11" t="str">
        <f>"000177"</f>
        <v>000177</v>
      </c>
      <c r="M73" s="10">
        <v>43484</v>
      </c>
      <c r="N73" s="11" t="str">
        <f>"000055"</f>
        <v>000055</v>
      </c>
      <c r="O73" s="10">
        <v>43512</v>
      </c>
      <c r="P73" s="11" t="str">
        <f>"000095"</f>
        <v>000095</v>
      </c>
      <c r="Q73" s="10">
        <v>43512</v>
      </c>
      <c r="R73" s="11"/>
      <c r="S73" s="11" t="str">
        <f>"009850"</f>
        <v>009850</v>
      </c>
      <c r="T73" s="10">
        <v>43544</v>
      </c>
      <c r="U73" s="14">
        <v>9.9838000000000005</v>
      </c>
      <c r="V73" s="14">
        <v>1.0585500000000001</v>
      </c>
      <c r="W73" s="14">
        <v>8.9252500000000001</v>
      </c>
      <c r="X73" s="11">
        <v>382</v>
      </c>
      <c r="Y73" s="10">
        <v>43546</v>
      </c>
      <c r="Z73" s="11">
        <v>8022975812</v>
      </c>
      <c r="AA73" s="12" t="s">
        <v>172</v>
      </c>
      <c r="AB73" s="11" t="s">
        <v>238</v>
      </c>
      <c r="AC73" s="12" t="s">
        <v>239</v>
      </c>
      <c r="AD73" s="11" t="s">
        <v>43</v>
      </c>
      <c r="AE73" s="12" t="s">
        <v>44</v>
      </c>
      <c r="AF73" s="14">
        <f t="shared" si="0"/>
        <v>9.983800000000001E-2</v>
      </c>
      <c r="AG73" s="11" t="s">
        <v>165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2019-06-13T08:00:53Z</dcterms:modified>
</cp:coreProperties>
</file>