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7" i="1" l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<sst xmlns="http://schemas.openxmlformats.org/spreadsheetml/2006/main" count="817" uniqueCount="211">
  <si>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</si>
  <si>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</si>
  <si>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</si>
  <si>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</si>
  <si>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</si>
  <si>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</si>
  <si>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</si>
  <si>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</si>
  <si>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</si>
  <si>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</si>
  <si>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</si>
  <si>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</si>
  <si>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</si>
  <si>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</si>
  <si>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</si>
  <si>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</si>
  <si>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</si>
  <si>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</si>
  <si>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</si>
  <si>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</si>
  <si>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</si>
  <si>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</si>
  <si>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</si>
  <si>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</si>
  <si>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</si>
  <si>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</si>
  <si>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</si>
  <si>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</si>
  <si>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</si>
  <si>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</si>
  <si>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</si>
  <si>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</si>
  <si>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</si>
  <si>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</si>
  <si>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Shetti Halli</t>
  </si>
  <si>
    <t>Shetty Halli</t>
  </si>
  <si>
    <t>Dasara Halli</t>
  </si>
  <si>
    <t>012-14-000002</t>
  </si>
  <si>
    <t>Asphalting to cross roads at Babanna badavane in ward no. 12, Shettyhalli sub division.</t>
  </si>
  <si>
    <t>Roads &amp; Drivablility</t>
  </si>
  <si>
    <t>B.Mohan Kumar</t>
  </si>
  <si>
    <t>P1771</t>
  </si>
  <si>
    <t>Zone Works - POW Works</t>
  </si>
  <si>
    <t>ddo462</t>
  </si>
  <si>
    <t xml:space="preserve"> Assistant Executive Engineer Shettihalli Dasarahalli Zone</t>
  </si>
  <si>
    <t>Pending</t>
  </si>
  <si>
    <t>012-15-000035</t>
  </si>
  <si>
    <t>Drilling of new Borewells at Ward No.12</t>
  </si>
  <si>
    <t>Water &amp; Sanitary</t>
  </si>
  <si>
    <t>KRIDL</t>
  </si>
  <si>
    <t>P0299</t>
  </si>
  <si>
    <t>Drilling and Maintenance of Borewells, Pumpsets and Pipe lines, Erection and Installation etc</t>
  </si>
  <si>
    <t>ddo464</t>
  </si>
  <si>
    <t xml:space="preserve"> Assistant Executive Engineer Project - 1 Dasarahalli Zone</t>
  </si>
  <si>
    <t>012-13-000024</t>
  </si>
  <si>
    <t>Asphalting of road from Wymax Junction to Abbigere in ward no 12</t>
  </si>
  <si>
    <t>kridl</t>
  </si>
  <si>
    <t>P2201</t>
  </si>
  <si>
    <t>Assembly Constituency Development Works under BBMP</t>
  </si>
  <si>
    <t>012-13-000020</t>
  </si>
  <si>
    <t xml:space="preserve">Improvements and Asphalting to Kammagondanahalli main road from Sri Rama Temple to Wimac Junction in shettihalli ward no 12 </t>
  </si>
  <si>
    <t>012-13-000025</t>
  </si>
  <si>
    <t xml:space="preserve">Asphalting of damaged reaches in Shettihalli and Mallasandra in ward no 12 </t>
  </si>
  <si>
    <t>May</t>
  </si>
  <si>
    <t>012-16-000011</t>
  </si>
  <si>
    <t>Providing pothole filling at ward No. 12 Shettyhalli sub division</t>
  </si>
  <si>
    <t>g.n. ramesh</t>
  </si>
  <si>
    <t>012-13-000022</t>
  </si>
  <si>
    <t xml:space="preserve">Improvements and Asphalting at Babanna Layout 1st main road Hesaraghatta main road junction in shettihalli ward no 12 </t>
  </si>
  <si>
    <t>June</t>
  </si>
  <si>
    <t>012-17-000017</t>
  </si>
  <si>
    <t>Maintainance of Borewell at ward no 12 Shettyhalli Sub division</t>
  </si>
  <si>
    <t xml:space="preserve">S. PRAKAS </t>
  </si>
  <si>
    <t>012-17-000040</t>
  </si>
  <si>
    <t>Development of Secondary drains Territary drains at Ward No 12 Shettihalli</t>
  </si>
  <si>
    <t>Footpaths &amp; Walkability</t>
  </si>
  <si>
    <t>Sri Kumar B J</t>
  </si>
  <si>
    <t>P3110</t>
  </si>
  <si>
    <t>14th Finance Commission Grant Works</t>
  </si>
  <si>
    <t>Spill Over</t>
  </si>
  <si>
    <t>012-16-000010</t>
  </si>
  <si>
    <t>Maintenance of Bore wells at Shettyhalli, Abbigere, Medarahalli and Chikkasandra in ward no. 12 Shettyhalli sub division.</t>
  </si>
  <si>
    <t>S Prakash,</t>
  </si>
  <si>
    <t>012-17-000009</t>
  </si>
  <si>
    <t>Improvements to Road drains at Anjaneya temple area abbigere in ward no 12 in Shettyhalli Sub-Division</t>
  </si>
  <si>
    <t>P3111</t>
  </si>
  <si>
    <t>State Finance Commission Untied Grant Works</t>
  </si>
  <si>
    <t>012-18-000012</t>
  </si>
  <si>
    <t>Improvements to roads and drains of Chikkasandra Janatha colony cross roads in ward no 12 shettyhalli in Shettyhalli sub division</t>
  </si>
  <si>
    <t>M/S Inchara Constructions</t>
  </si>
  <si>
    <t>P1878</t>
  </si>
  <si>
    <t>18per - Works (Bhagyajyothi, Sooru / Neeru Yojane and General) (54 Lakhs / New Wards)</t>
  </si>
  <si>
    <t>012-18-000011</t>
  </si>
  <si>
    <t xml:space="preserve">Improvements to roads and drains of Abbigere Janatha colony cross roads in ward no 12 shettyhalli in Shettyhalli sub division </t>
  </si>
  <si>
    <t xml:space="preserve">M/S Inchara constraction </t>
  </si>
  <si>
    <t>012-18-000014</t>
  </si>
  <si>
    <t>Improvements to roads and drains of Medarahalli Janatha colony Southern side cross roads in ward no 12 shettyhalli in Shettyhalli sub division</t>
  </si>
  <si>
    <t>Dhananjaya. ML</t>
  </si>
  <si>
    <t>012-18-000013</t>
  </si>
  <si>
    <t>Improvements to roads and drains of Medarahalli Janatha colony cross roads in ward no 12 shettyhalli in Shettyhalli sub division</t>
  </si>
  <si>
    <t>Dhananjaya ML</t>
  </si>
  <si>
    <t>012-12-000090</t>
  </si>
  <si>
    <t>Emergency Reserve Fund</t>
  </si>
  <si>
    <t>Other Ward Works</t>
  </si>
  <si>
    <t>July</t>
  </si>
  <si>
    <t>012-16-000013</t>
  </si>
  <si>
    <t>Providing street name board at AGB layout, Babanna layout and Medarahalli in ward no. 12 Shettyhalli sub division.</t>
  </si>
  <si>
    <t>THIPPESWAMY. N</t>
  </si>
  <si>
    <t>012-15-000005</t>
  </si>
  <si>
    <t>Construction of culverts at Chikkasandra, Medarahalli and Kammagondanahalli in different locations in ward no. 12, Shetyyhalli sub division</t>
  </si>
  <si>
    <t>K M Ravi</t>
  </si>
  <si>
    <t>012-15-000015</t>
  </si>
  <si>
    <t>Providing improvements to roads and drains at Medarahalli Pillappa layout and RR Layout in ward no. 12, Shetyyhalli sub division</t>
  </si>
  <si>
    <t>012-16-000001</t>
  </si>
  <si>
    <t>Operation and Maintenance of stree light at Ward No.12 Shettyhalli, Kammagondanahalli surrounding Area Package D-1 of Dasarahalli Zone</t>
  </si>
  <si>
    <t>M/S BSR ELECTRICALS</t>
  </si>
  <si>
    <t>P0300</t>
  </si>
  <si>
    <t>M and R to Street Lights - Replacement of Burnt Bulbs etc. (Package)</t>
  </si>
  <si>
    <t>ddo466</t>
  </si>
  <si>
    <t xml:space="preserve"> Assistant Executive Engineer Electrical Dasarahalli Zone</t>
  </si>
  <si>
    <t>012-16-000002</t>
  </si>
  <si>
    <t>Operation and Maintenance of stree light at Ward No.12 Shettyhalli, Sheetyhalli surrounding Area Package D-2 of Dasarahalli Zone</t>
  </si>
  <si>
    <t>012-17-000041</t>
  </si>
  <si>
    <t>Development of Roads and Drains in Ward No 12 Shettihalli</t>
  </si>
  <si>
    <t>B  Muniraju</t>
  </si>
  <si>
    <t>012-17-000021</t>
  </si>
  <si>
    <t>Removal of silt using tractor and labour in ward no 12 Shettyhalli Sub division</t>
  </si>
  <si>
    <t>Health &amp; Sanitation</t>
  </si>
  <si>
    <t>M/s INCHARA CONSTRUCTUONS</t>
  </si>
  <si>
    <t>August</t>
  </si>
  <si>
    <t>012-15-000031</t>
  </si>
  <si>
    <t>Providing lighting system to Aladamara park Ward No. 12</t>
  </si>
  <si>
    <t>Trees, Parks &amp; Playgrounds</t>
  </si>
  <si>
    <t>THE TECHNICAL MANAGER -2(BBMP)KRIDL</t>
  </si>
  <si>
    <t>P0088</t>
  </si>
  <si>
    <t>Maintenance and Management of Parks on Contract</t>
  </si>
  <si>
    <t>012-15-000032</t>
  </si>
  <si>
    <t>Providing lighting system to Anjajeya swamy temple park Ward No. 12</t>
  </si>
  <si>
    <t>THE TECHNICAL MANAGER-2(BBMP)KRIDL</t>
  </si>
  <si>
    <t>012-15-000006</t>
  </si>
  <si>
    <t>Emegency grant</t>
  </si>
  <si>
    <t>012-16-000008</t>
  </si>
  <si>
    <t>Improvements to roads and drains at Nisaraga layout in Abbigere ward no. 12, Shettyhalli sub division.</t>
  </si>
  <si>
    <t>PUTTARAJU A</t>
  </si>
  <si>
    <t>012-17-000053</t>
  </si>
  <si>
    <t>Engagement of Gangman and Hiring of Troctor Tippers for cleaning and Maintenance of road side drains and other cleaning works in works in ward no 12</t>
  </si>
  <si>
    <t>M/S. Inchara Constructions</t>
  </si>
  <si>
    <t>September</t>
  </si>
  <si>
    <t>012-14-000023</t>
  </si>
  <si>
    <t xml:space="preserve">Improvements to main and cross roads at Reddy layout Ravindranagara air force compound in ward no.12 Shettyhalli sub division. </t>
  </si>
  <si>
    <t>P2434</t>
  </si>
  <si>
    <t>Development works for Bangalore City</t>
  </si>
  <si>
    <t>012-16-000009</t>
  </si>
  <si>
    <t>Improvements to roads and drains at Vinayaka layout, Medarahalli near RR College in ward no. 12, Shettyhalli sub division.</t>
  </si>
  <si>
    <t>R SHIVARAM</t>
  </si>
  <si>
    <t>012-17-000052</t>
  </si>
  <si>
    <t>Drilling of borewell in ward no12 shettyhalli sud division</t>
  </si>
  <si>
    <t>P1802</t>
  </si>
  <si>
    <t>Water Supply New Areas</t>
  </si>
  <si>
    <t>012-17-000054</t>
  </si>
  <si>
    <t>Providing CC Camera at Garbage Block Spots in ward no 12</t>
  </si>
  <si>
    <t>Crime &amp; Safety</t>
  </si>
  <si>
    <t>K.Jagadish</t>
  </si>
  <si>
    <t>October</t>
  </si>
  <si>
    <t>012-18-000023</t>
  </si>
  <si>
    <t>Construction of RCC culvert and U Shape drain for secondary SWD between Settyhalli and Chikkasandra village in Settyhalli Ward No.12</t>
  </si>
  <si>
    <t>Storm Water Drains</t>
  </si>
  <si>
    <t>M/s KVK Constructions Prop K Prakash Babu</t>
  </si>
  <si>
    <t>P3106</t>
  </si>
  <si>
    <t>Nagarothana Works</t>
  </si>
  <si>
    <t>ddo313</t>
  </si>
  <si>
    <t xml:space="preserve"> Chief Engineer SWD Central Zone</t>
  </si>
  <si>
    <t>Current</t>
  </si>
  <si>
    <t>012-17-000027</t>
  </si>
  <si>
    <t>Improvements to road and drain at Kaveri Layout Adarshanagara Shettyhalli Sub Division in ward no 12 SSD</t>
  </si>
  <si>
    <t>P3158</t>
  </si>
  <si>
    <t>SIP Infrastructure Project works</t>
  </si>
  <si>
    <t>012-17-000028</t>
  </si>
  <si>
    <t>Improvements to road and drain at Shettyhalli village and Shettyhalli Janatha colony in ward no 12 Shettyhalli Sub Division</t>
  </si>
  <si>
    <t>012-15-000033</t>
  </si>
  <si>
    <t>Providing lighting system to Geleyara Balaga park Part 1 and 2 Ward No. 12</t>
  </si>
  <si>
    <t>November</t>
  </si>
  <si>
    <t>012-18-000026</t>
  </si>
  <si>
    <t>Drilling of borewells and providing pump motor at chikkasandra, Medarahalli, Abbigere and Shettyhalli Villages and surrounding areas in ward no 12</t>
  </si>
  <si>
    <t>December</t>
  </si>
  <si>
    <t>Prakash S</t>
  </si>
  <si>
    <t>January</t>
  </si>
  <si>
    <t>012-17-000030</t>
  </si>
  <si>
    <t>Improvements to main road and drain at Shettyhalli Sub Division in ward no 12 SSD</t>
  </si>
  <si>
    <t>012-17-000036</t>
  </si>
  <si>
    <t xml:space="preserve">Improvements to main and cross roads at Babanna layout back side area chikkasandra in ward no 12 Shettyhalli Sub Division </t>
  </si>
  <si>
    <t>012-17-000025</t>
  </si>
  <si>
    <t>Improvements to road and drain at RR Layout and Vinayaka layout in ward no 12 SSD</t>
  </si>
  <si>
    <t>012-17-000032</t>
  </si>
  <si>
    <t xml:space="preserve">Improvements to road and drain at Kempegowda Garden and Sapthagiri layout in ward no 12 Shettyhalli Sub Division </t>
  </si>
  <si>
    <t>012-17-000024</t>
  </si>
  <si>
    <t>Improvements to main and cross road at Chowdappa layout near Durgaparameshwari Temple Medarahalli in ward no 12 SSD</t>
  </si>
  <si>
    <t>February</t>
  </si>
  <si>
    <t>012-13-000035</t>
  </si>
  <si>
    <t>Improvements and sculptures works to Abbigere and other park in ward no 12</t>
  </si>
  <si>
    <t>P0190</t>
  </si>
  <si>
    <t>Works sanctioned by Hon Mayor</t>
  </si>
  <si>
    <t>012-17-000019</t>
  </si>
  <si>
    <t>Maintainance of UGD at ward no 12 Shettyhalli Sub division</t>
  </si>
  <si>
    <t>MAHENDA ENGINEERING WORKS</t>
  </si>
  <si>
    <t>March</t>
  </si>
  <si>
    <t>012-17-000014</t>
  </si>
  <si>
    <t>Contructon of RCC Drain at Abbigere Janatha Colony in ward no 12 Shettyhalli Sub division</t>
  </si>
  <si>
    <t>SHIVARAM R</t>
  </si>
  <si>
    <t>012-17-000016</t>
  </si>
  <si>
    <t>Contructon of RCC Drain at Halmuniyappa Layout in ward no 12 Shettyhalli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</si>
</sst>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workbookViewId="0">
      <pane ySplit="1" topLeftCell="A2" activePane="bottomLeft" state="frozen"/>
      <selection activeCell="H1" sqref="H1"/>
      <selection pane="bottomLeft" activeCell="E11" sqref="E1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331</v>
      </c>
      <c r="B2" s="9" t="s">
        <v>33</v>
      </c>
      <c r="C2" s="10">
        <v>43200</v>
      </c>
      <c r="D2" s="11">
        <v>12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"000329"</f>
        <v>000329</v>
      </c>
      <c r="M2" s="10">
        <v>41702</v>
      </c>
      <c r="N2" s="11" t="str">
        <f>"000063"</f>
        <v>000063</v>
      </c>
      <c r="O2" s="10">
        <v>42551</v>
      </c>
      <c r="P2" s="11" t="str">
        <f>"000262"</f>
        <v>000262</v>
      </c>
      <c r="Q2" s="10">
        <v>42559</v>
      </c>
      <c r="R2" s="11">
        <v>14</v>
      </c>
      <c r="S2" s="11" t="str">
        <f>"011013"</f>
        <v>011013</v>
      </c>
      <c r="T2" s="10">
        <v>43187</v>
      </c>
      <c r="U2" s="14">
        <v>18.01643</v>
      </c>
      <c r="V2" s="14">
        <v>1.3601300000000001</v>
      </c>
      <c r="W2" s="14">
        <v>16.656300000000002</v>
      </c>
      <c r="X2" s="11">
        <v>9</v>
      </c>
      <c r="Y2" s="10">
        <v>43200</v>
      </c>
      <c r="Z2" s="11">
        <v>9731223456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0.1801643</v>
      </c>
      <c r="AG2" s="11" t="s">
        <v>45</v>
      </c>
    </row>
    <row r="3" spans="1:33" x14ac:dyDescent="0.2">
      <c r="A3" s="8">
        <v>500</v>
      </c>
      <c r="B3" s="9" t="s">
        <v>33</v>
      </c>
      <c r="C3" s="10">
        <v>43203</v>
      </c>
      <c r="D3" s="11">
        <v>12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"000019"</f>
        <v>000019</v>
      </c>
      <c r="M3" s="10">
        <v>42556</v>
      </c>
      <c r="N3" s="11" t="str">
        <f>"000015"</f>
        <v>000015</v>
      </c>
      <c r="O3" s="10">
        <v>42704</v>
      </c>
      <c r="P3" s="11" t="str">
        <f>"000009"</f>
        <v>000009</v>
      </c>
      <c r="Q3" s="10">
        <v>42725</v>
      </c>
      <c r="R3" s="11">
        <v>15</v>
      </c>
      <c r="S3" s="11" t="str">
        <f>"000391"</f>
        <v>000391</v>
      </c>
      <c r="T3" s="10">
        <v>43197</v>
      </c>
      <c r="U3" s="14">
        <v>4.92659</v>
      </c>
      <c r="V3" s="14">
        <v>0.59619</v>
      </c>
      <c r="W3" s="14">
        <v>4.3304</v>
      </c>
      <c r="X3" s="11">
        <v>20</v>
      </c>
      <c r="Y3" s="10">
        <v>43203</v>
      </c>
      <c r="Z3" s="11">
        <v>9448265059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4.9265900000000001E-2</v>
      </c>
      <c r="AG3" s="11" t="s">
        <v>45</v>
      </c>
    </row>
    <row r="4" spans="1:33" x14ac:dyDescent="0.2">
      <c r="A4" s="8">
        <v>598</v>
      </c>
      <c r="B4" s="9" t="s">
        <v>33</v>
      </c>
      <c r="C4" s="10">
        <v>43214</v>
      </c>
      <c r="D4" s="11">
        <v>12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54</v>
      </c>
      <c r="J4" s="12" t="s">
        <v>55</v>
      </c>
      <c r="K4" s="13" t="s">
        <v>39</v>
      </c>
      <c r="L4" s="11" t="str">
        <f>"000443"</f>
        <v>000443</v>
      </c>
      <c r="M4" s="10">
        <v>41341</v>
      </c>
      <c r="N4" s="11" t="str">
        <f>"000030"</f>
        <v>000030</v>
      </c>
      <c r="O4" s="10">
        <v>42521</v>
      </c>
      <c r="P4" s="11" t="str">
        <f>"000206"</f>
        <v>000206</v>
      </c>
      <c r="Q4" s="10">
        <v>42551</v>
      </c>
      <c r="R4" s="11">
        <v>13</v>
      </c>
      <c r="S4" s="11" t="str">
        <f>"000574"</f>
        <v>000574</v>
      </c>
      <c r="T4" s="10">
        <v>43203</v>
      </c>
      <c r="U4" s="14">
        <v>49.513530000000003</v>
      </c>
      <c r="V4" s="14">
        <v>6.5903200000000002</v>
      </c>
      <c r="W4" s="14">
        <v>42.923209999999997</v>
      </c>
      <c r="X4" s="11">
        <v>23</v>
      </c>
      <c r="Y4" s="10">
        <v>43214</v>
      </c>
      <c r="Z4" s="11">
        <v>9886219099</v>
      </c>
      <c r="AA4" s="12" t="s">
        <v>56</v>
      </c>
      <c r="AB4" s="11" t="s">
        <v>57</v>
      </c>
      <c r="AC4" s="12" t="s">
        <v>58</v>
      </c>
      <c r="AD4" s="11" t="s">
        <v>43</v>
      </c>
      <c r="AE4" s="12" t="s">
        <v>44</v>
      </c>
      <c r="AF4" s="14">
        <v>0.49513530000000006</v>
      </c>
      <c r="AG4" s="11" t="s">
        <v>45</v>
      </c>
    </row>
    <row r="5" spans="1:33" x14ac:dyDescent="0.2">
      <c r="A5" s="8">
        <v>599</v>
      </c>
      <c r="B5" s="9" t="s">
        <v>33</v>
      </c>
      <c r="C5" s="10">
        <v>43214</v>
      </c>
      <c r="D5" s="11">
        <v>12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59</v>
      </c>
      <c r="J5" s="12" t="s">
        <v>60</v>
      </c>
      <c r="K5" s="13" t="s">
        <v>39</v>
      </c>
      <c r="L5" s="11" t="str">
        <f>"000439"</f>
        <v>000439</v>
      </c>
      <c r="M5" s="10">
        <v>41341</v>
      </c>
      <c r="N5" s="11" t="str">
        <f>"000027"</f>
        <v>000027</v>
      </c>
      <c r="O5" s="10">
        <v>42521</v>
      </c>
      <c r="P5" s="11" t="str">
        <f>"000207"</f>
        <v>000207</v>
      </c>
      <c r="Q5" s="10">
        <v>42551</v>
      </c>
      <c r="R5" s="11">
        <v>13</v>
      </c>
      <c r="S5" s="11" t="str">
        <f>"000575"</f>
        <v>000575</v>
      </c>
      <c r="T5" s="10">
        <v>43203</v>
      </c>
      <c r="U5" s="14">
        <v>44.384810000000002</v>
      </c>
      <c r="V5" s="14">
        <v>5.9224199999999998</v>
      </c>
      <c r="W5" s="14">
        <v>38.462389999999999</v>
      </c>
      <c r="X5" s="11">
        <v>23</v>
      </c>
      <c r="Y5" s="10">
        <v>43214</v>
      </c>
      <c r="Z5" s="11">
        <v>9886219099</v>
      </c>
      <c r="AA5" s="12" t="s">
        <v>56</v>
      </c>
      <c r="AB5" s="11" t="s">
        <v>57</v>
      </c>
      <c r="AC5" s="12" t="s">
        <v>58</v>
      </c>
      <c r="AD5" s="11" t="s">
        <v>43</v>
      </c>
      <c r="AE5" s="12" t="s">
        <v>44</v>
      </c>
      <c r="AF5" s="14">
        <v>0.44384810000000002</v>
      </c>
      <c r="AG5" s="11" t="s">
        <v>45</v>
      </c>
    </row>
    <row r="6" spans="1:33" x14ac:dyDescent="0.2">
      <c r="A6" s="8">
        <v>600</v>
      </c>
      <c r="B6" s="9" t="s">
        <v>33</v>
      </c>
      <c r="C6" s="10">
        <v>43214</v>
      </c>
      <c r="D6" s="11">
        <v>12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61</v>
      </c>
      <c r="J6" s="12" t="s">
        <v>62</v>
      </c>
      <c r="K6" s="13" t="s">
        <v>39</v>
      </c>
      <c r="L6" s="11" t="str">
        <f>"000444"</f>
        <v>000444</v>
      </c>
      <c r="M6" s="10">
        <v>41341</v>
      </c>
      <c r="N6" s="11" t="str">
        <f>"000054"</f>
        <v>000054</v>
      </c>
      <c r="O6" s="10">
        <v>42550</v>
      </c>
      <c r="P6" s="11" t="str">
        <f>"000210"</f>
        <v>000210</v>
      </c>
      <c r="Q6" s="10">
        <v>42551</v>
      </c>
      <c r="R6" s="11">
        <v>13</v>
      </c>
      <c r="S6" s="11" t="str">
        <f>"000576"</f>
        <v>000576</v>
      </c>
      <c r="T6" s="10">
        <v>43203</v>
      </c>
      <c r="U6" s="14">
        <v>45.050600000000003</v>
      </c>
      <c r="V6" s="14">
        <v>6.0142499999999997</v>
      </c>
      <c r="W6" s="14">
        <v>39.036349999999999</v>
      </c>
      <c r="X6" s="11">
        <v>23</v>
      </c>
      <c r="Y6" s="10">
        <v>43214</v>
      </c>
      <c r="Z6" s="11">
        <v>9889219009</v>
      </c>
      <c r="AA6" s="12" t="s">
        <v>49</v>
      </c>
      <c r="AB6" s="11" t="s">
        <v>57</v>
      </c>
      <c r="AC6" s="12" t="s">
        <v>58</v>
      </c>
      <c r="AD6" s="11" t="s">
        <v>43</v>
      </c>
      <c r="AE6" s="12" t="s">
        <v>44</v>
      </c>
      <c r="AF6" s="14">
        <v>0.45050600000000002</v>
      </c>
      <c r="AG6" s="11" t="s">
        <v>45</v>
      </c>
    </row>
    <row r="7" spans="1:33" x14ac:dyDescent="0.2">
      <c r="A7" s="8">
        <v>1485</v>
      </c>
      <c r="B7" s="9" t="s">
        <v>63</v>
      </c>
      <c r="C7" s="10">
        <v>43251</v>
      </c>
      <c r="D7" s="11">
        <v>12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64</v>
      </c>
      <c r="J7" s="12" t="s">
        <v>65</v>
      </c>
      <c r="K7" s="13" t="s">
        <v>39</v>
      </c>
      <c r="L7" s="11" t="str">
        <f>"000082"</f>
        <v>000082</v>
      </c>
      <c r="M7" s="10">
        <v>42453</v>
      </c>
      <c r="N7" s="11" t="str">
        <f>"000029"</f>
        <v>000029</v>
      </c>
      <c r="O7" s="10">
        <v>42521</v>
      </c>
      <c r="P7" s="11" t="str">
        <f>"000208"</f>
        <v>000208</v>
      </c>
      <c r="Q7" s="10">
        <v>42551</v>
      </c>
      <c r="R7" s="11">
        <v>16</v>
      </c>
      <c r="S7" s="11" t="str">
        <f>"001925"</f>
        <v>001925</v>
      </c>
      <c r="T7" s="10">
        <v>43246</v>
      </c>
      <c r="U7" s="14">
        <v>9.2903099999999998</v>
      </c>
      <c r="V7" s="14">
        <v>0.70604999999999996</v>
      </c>
      <c r="W7" s="14">
        <v>8.5842600000000004</v>
      </c>
      <c r="X7" s="11">
        <v>67</v>
      </c>
      <c r="Y7" s="10">
        <v>43251</v>
      </c>
      <c r="Z7" s="11">
        <v>9889219009</v>
      </c>
      <c r="AA7" s="12" t="s">
        <v>66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9.2903100000000002E-2</v>
      </c>
      <c r="AG7" s="11" t="s">
        <v>45</v>
      </c>
    </row>
    <row r="8" spans="1:33" x14ac:dyDescent="0.2">
      <c r="A8" s="8">
        <v>1486</v>
      </c>
      <c r="B8" s="9" t="s">
        <v>63</v>
      </c>
      <c r="C8" s="10">
        <v>43251</v>
      </c>
      <c r="D8" s="11">
        <v>12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67</v>
      </c>
      <c r="J8" s="12" t="s">
        <v>68</v>
      </c>
      <c r="K8" s="13" t="s">
        <v>39</v>
      </c>
      <c r="L8" s="11" t="str">
        <f>"000441"</f>
        <v>000441</v>
      </c>
      <c r="M8" s="10">
        <v>41341</v>
      </c>
      <c r="N8" s="11" t="str">
        <f>"000057"</f>
        <v>000057</v>
      </c>
      <c r="O8" s="10">
        <v>42550</v>
      </c>
      <c r="P8" s="11" t="str">
        <f>"000209"</f>
        <v>000209</v>
      </c>
      <c r="Q8" s="10">
        <v>42551</v>
      </c>
      <c r="R8" s="11">
        <v>13</v>
      </c>
      <c r="S8" s="11" t="str">
        <f>"001927"</f>
        <v>001927</v>
      </c>
      <c r="T8" s="10">
        <v>43246</v>
      </c>
      <c r="U8" s="14">
        <v>42.606169999999999</v>
      </c>
      <c r="V8" s="14">
        <v>5.7435099999999997</v>
      </c>
      <c r="W8" s="14">
        <v>36.862659999999998</v>
      </c>
      <c r="X8" s="11">
        <v>67</v>
      </c>
      <c r="Y8" s="10">
        <v>43251</v>
      </c>
      <c r="Z8" s="11">
        <v>9889219009</v>
      </c>
      <c r="AA8" s="12" t="s">
        <v>49</v>
      </c>
      <c r="AB8" s="11" t="s">
        <v>57</v>
      </c>
      <c r="AC8" s="12" t="s">
        <v>58</v>
      </c>
      <c r="AD8" s="11" t="s">
        <v>43</v>
      </c>
      <c r="AE8" s="12" t="s">
        <v>44</v>
      </c>
      <c r="AF8" s="14">
        <v>0.42606169999999999</v>
      </c>
      <c r="AG8" s="11" t="s">
        <v>45</v>
      </c>
    </row>
    <row r="9" spans="1:33" x14ac:dyDescent="0.2">
      <c r="A9" s="8">
        <v>1606</v>
      </c>
      <c r="B9" s="9" t="s">
        <v>69</v>
      </c>
      <c r="C9" s="10">
        <v>43252</v>
      </c>
      <c r="D9" s="11">
        <v>12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70</v>
      </c>
      <c r="J9" s="12" t="s">
        <v>71</v>
      </c>
      <c r="K9" s="13" t="s">
        <v>48</v>
      </c>
      <c r="L9" s="11" t="str">
        <f>"000001"</f>
        <v>000001</v>
      </c>
      <c r="M9" s="10">
        <v>42927</v>
      </c>
      <c r="N9" s="11" t="str">
        <f>"000024"</f>
        <v>000024</v>
      </c>
      <c r="O9" s="10">
        <v>42867</v>
      </c>
      <c r="P9" s="11" t="str">
        <f>"000096"</f>
        <v>000096</v>
      </c>
      <c r="Q9" s="10">
        <v>42888</v>
      </c>
      <c r="R9" s="11">
        <v>17</v>
      </c>
      <c r="S9" s="11" t="str">
        <f>"001976"</f>
        <v>001976</v>
      </c>
      <c r="T9" s="10">
        <v>43246</v>
      </c>
      <c r="U9" s="14">
        <v>32.26417</v>
      </c>
      <c r="V9" s="14">
        <v>1.96811</v>
      </c>
      <c r="W9" s="14">
        <v>30.296060000000001</v>
      </c>
      <c r="X9" s="11">
        <v>64</v>
      </c>
      <c r="Y9" s="10">
        <v>43252</v>
      </c>
      <c r="Z9" s="11">
        <v>9889219009</v>
      </c>
      <c r="AA9" s="12" t="s">
        <v>72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0.32264169999999998</v>
      </c>
      <c r="AG9" s="11" t="s">
        <v>45</v>
      </c>
    </row>
    <row r="10" spans="1:33" x14ac:dyDescent="0.2">
      <c r="A10" s="8">
        <v>1977</v>
      </c>
      <c r="B10" s="9" t="s">
        <v>69</v>
      </c>
      <c r="C10" s="10">
        <v>43258</v>
      </c>
      <c r="D10" s="11">
        <v>12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73</v>
      </c>
      <c r="J10" s="12" t="s">
        <v>74</v>
      </c>
      <c r="K10" s="13" t="s">
        <v>75</v>
      </c>
      <c r="L10" s="11" t="str">
        <f>"000128"</f>
        <v>000128</v>
      </c>
      <c r="M10" s="10">
        <v>43087</v>
      </c>
      <c r="N10" s="11" t="str">
        <f>"000008"</f>
        <v>000008</v>
      </c>
      <c r="O10" s="10">
        <v>43225</v>
      </c>
      <c r="P10" s="11" t="str">
        <f>"000037"</f>
        <v>000037</v>
      </c>
      <c r="Q10" s="10">
        <v>43225</v>
      </c>
      <c r="R10" s="11">
        <v>17</v>
      </c>
      <c r="S10" s="11" t="str">
        <f>"002278"</f>
        <v>002278</v>
      </c>
      <c r="T10" s="10">
        <v>43257</v>
      </c>
      <c r="U10" s="14">
        <v>99.923119999999997</v>
      </c>
      <c r="V10" s="14">
        <v>3.0177999999999998</v>
      </c>
      <c r="W10" s="14">
        <v>96.905320000000003</v>
      </c>
      <c r="X10" s="11">
        <v>77</v>
      </c>
      <c r="Y10" s="10">
        <v>43258</v>
      </c>
      <c r="Z10" s="11">
        <v>9845937211</v>
      </c>
      <c r="AA10" s="12" t="s">
        <v>76</v>
      </c>
      <c r="AB10" s="11" t="s">
        <v>77</v>
      </c>
      <c r="AC10" s="12" t="s">
        <v>78</v>
      </c>
      <c r="AD10" s="11" t="s">
        <v>43</v>
      </c>
      <c r="AE10" s="12" t="s">
        <v>44</v>
      </c>
      <c r="AF10" s="14">
        <v>0.99923119999999999</v>
      </c>
      <c r="AG10" s="11" t="s">
        <v>79</v>
      </c>
    </row>
    <row r="11" spans="1:33" x14ac:dyDescent="0.2">
      <c r="A11" s="8">
        <v>1996</v>
      </c>
      <c r="B11" s="9" t="s">
        <v>69</v>
      </c>
      <c r="C11" s="10">
        <v>43262</v>
      </c>
      <c r="D11" s="11">
        <v>12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80</v>
      </c>
      <c r="J11" s="12" t="s">
        <v>81</v>
      </c>
      <c r="K11" s="13" t="s">
        <v>48</v>
      </c>
      <c r="L11" s="11" t="str">
        <f>"000006"</f>
        <v>000006</v>
      </c>
      <c r="M11" s="10">
        <v>42487</v>
      </c>
      <c r="N11" s="11" t="str">
        <f>"000146"</f>
        <v>000146</v>
      </c>
      <c r="O11" s="10">
        <v>42772</v>
      </c>
      <c r="P11" s="11" t="str">
        <f>"000624"</f>
        <v>000624</v>
      </c>
      <c r="Q11" s="10">
        <v>42794</v>
      </c>
      <c r="R11" s="11">
        <v>16</v>
      </c>
      <c r="S11" s="11" t="str">
        <f>"002246"</f>
        <v>002246</v>
      </c>
      <c r="T11" s="10">
        <v>43257</v>
      </c>
      <c r="U11" s="14">
        <v>6.6589799999999997</v>
      </c>
      <c r="V11" s="14">
        <v>0.40620000000000001</v>
      </c>
      <c r="W11" s="14">
        <v>6.2527799999999996</v>
      </c>
      <c r="X11" s="11">
        <v>79</v>
      </c>
      <c r="Y11" s="10">
        <v>43262</v>
      </c>
      <c r="Z11" s="11">
        <v>9880549383</v>
      </c>
      <c r="AA11" s="12" t="s">
        <v>82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6.6589799999999991E-2</v>
      </c>
      <c r="AG11" s="11" t="s">
        <v>45</v>
      </c>
    </row>
    <row r="12" spans="1:33" x14ac:dyDescent="0.2">
      <c r="A12" s="8">
        <v>2163</v>
      </c>
      <c r="B12" s="9" t="s">
        <v>69</v>
      </c>
      <c r="C12" s="10">
        <v>43266</v>
      </c>
      <c r="D12" s="11">
        <v>12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83</v>
      </c>
      <c r="J12" s="12" t="s">
        <v>84</v>
      </c>
      <c r="K12" s="13" t="s">
        <v>39</v>
      </c>
      <c r="L12" s="11" t="str">
        <f>"000118"</f>
        <v>000118</v>
      </c>
      <c r="M12" s="10">
        <v>42907</v>
      </c>
      <c r="N12" s="11" t="str">
        <f>"000001"</f>
        <v>000001</v>
      </c>
      <c r="O12" s="10">
        <v>43196</v>
      </c>
      <c r="P12" s="11" t="str">
        <f>"000003"</f>
        <v>000003</v>
      </c>
      <c r="Q12" s="10">
        <v>43196</v>
      </c>
      <c r="R12" s="11">
        <v>17</v>
      </c>
      <c r="S12" s="11" t="str">
        <f>"002611"</f>
        <v>002611</v>
      </c>
      <c r="T12" s="10">
        <v>43265</v>
      </c>
      <c r="U12" s="14">
        <v>49.117150000000002</v>
      </c>
      <c r="V12" s="14">
        <v>4.5924500000000004</v>
      </c>
      <c r="W12" s="14">
        <v>44.524700000000003</v>
      </c>
      <c r="X12" s="11">
        <v>86</v>
      </c>
      <c r="Y12" s="10">
        <v>43266</v>
      </c>
      <c r="Z12" s="11">
        <v>9449219009</v>
      </c>
      <c r="AA12" s="12" t="s">
        <v>49</v>
      </c>
      <c r="AB12" s="11" t="s">
        <v>85</v>
      </c>
      <c r="AC12" s="12" t="s">
        <v>86</v>
      </c>
      <c r="AD12" s="11" t="s">
        <v>43</v>
      </c>
      <c r="AE12" s="12" t="s">
        <v>44</v>
      </c>
      <c r="AF12" s="14">
        <v>0.49117150000000004</v>
      </c>
      <c r="AG12" s="11" t="s">
        <v>79</v>
      </c>
    </row>
    <row r="13" spans="1:33" x14ac:dyDescent="0.2">
      <c r="A13" s="8">
        <v>2164</v>
      </c>
      <c r="B13" s="9" t="s">
        <v>69</v>
      </c>
      <c r="C13" s="10">
        <v>43266</v>
      </c>
      <c r="D13" s="11">
        <v>12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87</v>
      </c>
      <c r="J13" s="12" t="s">
        <v>88</v>
      </c>
      <c r="K13" s="13" t="s">
        <v>39</v>
      </c>
      <c r="L13" s="11" t="str">
        <f>"000175"</f>
        <v>000175</v>
      </c>
      <c r="M13" s="10">
        <v>43099</v>
      </c>
      <c r="N13" s="11" t="str">
        <f>"000006"</f>
        <v>000006</v>
      </c>
      <c r="O13" s="10">
        <v>43223</v>
      </c>
      <c r="P13" s="11" t="str">
        <f>"000036"</f>
        <v>000036</v>
      </c>
      <c r="Q13" s="10">
        <v>43225</v>
      </c>
      <c r="R13" s="11">
        <v>18</v>
      </c>
      <c r="S13" s="11" t="str">
        <f>"002212"</f>
        <v>002212</v>
      </c>
      <c r="T13" s="10">
        <v>43257</v>
      </c>
      <c r="U13" s="14">
        <v>43.994419999999998</v>
      </c>
      <c r="V13" s="14">
        <v>1.3198300000000001</v>
      </c>
      <c r="W13" s="14">
        <v>42.674590000000002</v>
      </c>
      <c r="X13" s="11">
        <v>87</v>
      </c>
      <c r="Y13" s="10">
        <v>43266</v>
      </c>
      <c r="Z13" s="11">
        <v>9972045970</v>
      </c>
      <c r="AA13" s="12" t="s">
        <v>89</v>
      </c>
      <c r="AB13" s="11" t="s">
        <v>90</v>
      </c>
      <c r="AC13" s="12" t="s">
        <v>91</v>
      </c>
      <c r="AD13" s="11" t="s">
        <v>43</v>
      </c>
      <c r="AE13" s="12" t="s">
        <v>44</v>
      </c>
      <c r="AF13" s="14">
        <v>0.43994420000000001</v>
      </c>
      <c r="AG13" s="11" t="s">
        <v>79</v>
      </c>
    </row>
    <row r="14" spans="1:33" x14ac:dyDescent="0.2">
      <c r="A14" s="8">
        <v>2165</v>
      </c>
      <c r="B14" s="9" t="s">
        <v>69</v>
      </c>
      <c r="C14" s="10">
        <v>43266</v>
      </c>
      <c r="D14" s="11">
        <v>12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92</v>
      </c>
      <c r="J14" s="12" t="s">
        <v>93</v>
      </c>
      <c r="K14" s="13" t="s">
        <v>39</v>
      </c>
      <c r="L14" s="11" t="str">
        <f>"000174"</f>
        <v>000174</v>
      </c>
      <c r="M14" s="10">
        <v>42826</v>
      </c>
      <c r="N14" s="11" t="str">
        <f>"000010"</f>
        <v>000010</v>
      </c>
      <c r="O14" s="10">
        <v>43230</v>
      </c>
      <c r="P14" s="11" t="str">
        <f>"000049"</f>
        <v>000049</v>
      </c>
      <c r="Q14" s="10">
        <v>43238</v>
      </c>
      <c r="R14" s="11">
        <v>18</v>
      </c>
      <c r="S14" s="11" t="str">
        <f>"002213"</f>
        <v>002213</v>
      </c>
      <c r="T14" s="10">
        <v>43257</v>
      </c>
      <c r="U14" s="14">
        <v>29.10857</v>
      </c>
      <c r="V14" s="14">
        <v>0.87417999999999996</v>
      </c>
      <c r="W14" s="14">
        <v>28.234390000000001</v>
      </c>
      <c r="X14" s="11">
        <v>87</v>
      </c>
      <c r="Y14" s="10">
        <v>43266</v>
      </c>
      <c r="Z14" s="11">
        <v>9972045970</v>
      </c>
      <c r="AA14" s="12" t="s">
        <v>94</v>
      </c>
      <c r="AB14" s="11" t="s">
        <v>90</v>
      </c>
      <c r="AC14" s="12" t="s">
        <v>91</v>
      </c>
      <c r="AD14" s="11" t="s">
        <v>43</v>
      </c>
      <c r="AE14" s="12" t="s">
        <v>44</v>
      </c>
      <c r="AF14" s="14">
        <v>0.2910857</v>
      </c>
      <c r="AG14" s="11" t="s">
        <v>79</v>
      </c>
    </row>
    <row r="15" spans="1:33" x14ac:dyDescent="0.2">
      <c r="A15" s="8">
        <v>2205</v>
      </c>
      <c r="B15" s="9" t="s">
        <v>69</v>
      </c>
      <c r="C15" s="10">
        <v>43269</v>
      </c>
      <c r="D15" s="11">
        <v>12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95</v>
      </c>
      <c r="J15" s="12" t="s">
        <v>96</v>
      </c>
      <c r="K15" s="13" t="s">
        <v>39</v>
      </c>
      <c r="L15" s="11" t="str">
        <f>"000318"</f>
        <v>000318</v>
      </c>
      <c r="M15" s="10">
        <v>43180</v>
      </c>
      <c r="N15" s="11" t="str">
        <f>"000011"</f>
        <v>000011</v>
      </c>
      <c r="O15" s="10">
        <v>43230</v>
      </c>
      <c r="P15" s="11" t="str">
        <f>"000050"</f>
        <v>000050</v>
      </c>
      <c r="Q15" s="10">
        <v>43238</v>
      </c>
      <c r="R15" s="11">
        <v>18</v>
      </c>
      <c r="S15" s="11" t="str">
        <f>"002249"</f>
        <v>002249</v>
      </c>
      <c r="T15" s="10">
        <v>43257</v>
      </c>
      <c r="U15" s="14">
        <v>34.758659999999999</v>
      </c>
      <c r="V15" s="14">
        <v>1.03796</v>
      </c>
      <c r="W15" s="14">
        <v>33.720700000000001</v>
      </c>
      <c r="X15" s="11">
        <v>93</v>
      </c>
      <c r="Y15" s="10">
        <v>43269</v>
      </c>
      <c r="Z15" s="11">
        <v>9448002933</v>
      </c>
      <c r="AA15" s="12" t="s">
        <v>97</v>
      </c>
      <c r="AB15" s="11" t="s">
        <v>90</v>
      </c>
      <c r="AC15" s="12" t="s">
        <v>91</v>
      </c>
      <c r="AD15" s="11" t="s">
        <v>43</v>
      </c>
      <c r="AE15" s="12" t="s">
        <v>44</v>
      </c>
      <c r="AF15" s="14">
        <v>0.34758659999999997</v>
      </c>
      <c r="AG15" s="11" t="s">
        <v>79</v>
      </c>
    </row>
    <row r="16" spans="1:33" x14ac:dyDescent="0.2">
      <c r="A16" s="8">
        <v>2206</v>
      </c>
      <c r="B16" s="9" t="s">
        <v>69</v>
      </c>
      <c r="C16" s="10">
        <v>43269</v>
      </c>
      <c r="D16" s="11">
        <v>12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98</v>
      </c>
      <c r="J16" s="12" t="s">
        <v>99</v>
      </c>
      <c r="K16" s="13" t="s">
        <v>39</v>
      </c>
      <c r="L16" s="11" t="str">
        <f>"000317"</f>
        <v>000317</v>
      </c>
      <c r="M16" s="10">
        <v>43180</v>
      </c>
      <c r="N16" s="11" t="str">
        <f>"000012"</f>
        <v>000012</v>
      </c>
      <c r="O16" s="10">
        <v>43230</v>
      </c>
      <c r="P16" s="11" t="str">
        <f>"000051"</f>
        <v>000051</v>
      </c>
      <c r="Q16" s="10">
        <v>43238</v>
      </c>
      <c r="R16" s="11">
        <v>18</v>
      </c>
      <c r="S16" s="11" t="str">
        <f>"002251"</f>
        <v>002251</v>
      </c>
      <c r="T16" s="10">
        <v>43257</v>
      </c>
      <c r="U16" s="14">
        <v>31.31888</v>
      </c>
      <c r="V16" s="14">
        <v>0.93193000000000004</v>
      </c>
      <c r="W16" s="14">
        <v>30.386949999999999</v>
      </c>
      <c r="X16" s="11">
        <v>93</v>
      </c>
      <c r="Y16" s="10">
        <v>43269</v>
      </c>
      <c r="Z16" s="11">
        <v>9448002933</v>
      </c>
      <c r="AA16" s="12" t="s">
        <v>100</v>
      </c>
      <c r="AB16" s="11" t="s">
        <v>90</v>
      </c>
      <c r="AC16" s="12" t="s">
        <v>91</v>
      </c>
      <c r="AD16" s="11" t="s">
        <v>43</v>
      </c>
      <c r="AE16" s="12" t="s">
        <v>44</v>
      </c>
      <c r="AF16" s="14">
        <v>0.31318879999999999</v>
      </c>
      <c r="AG16" s="11" t="s">
        <v>79</v>
      </c>
    </row>
    <row r="17" spans="1:33" x14ac:dyDescent="0.2">
      <c r="A17" s="8">
        <v>2678</v>
      </c>
      <c r="B17" s="9" t="s">
        <v>69</v>
      </c>
      <c r="C17" s="10">
        <v>43278</v>
      </c>
      <c r="D17" s="11">
        <v>12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101</v>
      </c>
      <c r="J17" s="12" t="s">
        <v>102</v>
      </c>
      <c r="K17" s="13" t="s">
        <v>103</v>
      </c>
      <c r="L17" s="11" t="str">
        <f>"000114"</f>
        <v>000114</v>
      </c>
      <c r="M17" s="10">
        <v>42460</v>
      </c>
      <c r="N17" s="11" t="str">
        <f>"000133"</f>
        <v>000133</v>
      </c>
      <c r="O17" s="10">
        <v>42669</v>
      </c>
      <c r="P17" s="11" t="str">
        <f>"000510"</f>
        <v>000510</v>
      </c>
      <c r="Q17" s="10">
        <v>42671</v>
      </c>
      <c r="R17" s="11">
        <v>12</v>
      </c>
      <c r="S17" s="11" t="str">
        <f>"002914"</f>
        <v>002914</v>
      </c>
      <c r="T17" s="10">
        <v>43276</v>
      </c>
      <c r="U17" s="14">
        <v>9.7047600000000003</v>
      </c>
      <c r="V17" s="14">
        <v>1.2552000000000001</v>
      </c>
      <c r="W17" s="14">
        <v>8.44956</v>
      </c>
      <c r="X17" s="11">
        <v>103</v>
      </c>
      <c r="Y17" s="10">
        <v>43278</v>
      </c>
      <c r="Z17" s="11">
        <v>9889219009</v>
      </c>
      <c r="AA17" s="12" t="s">
        <v>49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v>9.7047599999999998E-2</v>
      </c>
      <c r="AG17" s="11" t="s">
        <v>45</v>
      </c>
    </row>
    <row r="18" spans="1:33" x14ac:dyDescent="0.2">
      <c r="A18" s="8">
        <v>2679</v>
      </c>
      <c r="B18" s="9" t="s">
        <v>69</v>
      </c>
      <c r="C18" s="10">
        <v>43278</v>
      </c>
      <c r="D18" s="11">
        <v>12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101</v>
      </c>
      <c r="J18" s="12" t="s">
        <v>102</v>
      </c>
      <c r="K18" s="13" t="s">
        <v>103</v>
      </c>
      <c r="L18" s="11" t="str">
        <f>"000114"</f>
        <v>000114</v>
      </c>
      <c r="M18" s="10">
        <v>42460</v>
      </c>
      <c r="N18" s="11" t="str">
        <f>"000133"</f>
        <v>000133</v>
      </c>
      <c r="O18" s="10">
        <v>42669</v>
      </c>
      <c r="P18" s="11" t="str">
        <f>"000510"</f>
        <v>000510</v>
      </c>
      <c r="Q18" s="10">
        <v>42671</v>
      </c>
      <c r="R18" s="11">
        <v>12</v>
      </c>
      <c r="S18" s="11" t="str">
        <f>"002914"</f>
        <v>002914</v>
      </c>
      <c r="T18" s="10">
        <v>43276</v>
      </c>
      <c r="U18" s="14">
        <v>9.8995899999999999</v>
      </c>
      <c r="V18" s="14">
        <v>1.2782199999999999</v>
      </c>
      <c r="W18" s="14">
        <v>8.6213700000000006</v>
      </c>
      <c r="X18" s="11">
        <v>103</v>
      </c>
      <c r="Y18" s="10">
        <v>43278</v>
      </c>
      <c r="Z18" s="11">
        <v>9889219009</v>
      </c>
      <c r="AA18" s="12" t="s">
        <v>49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9.8995899999999998E-2</v>
      </c>
      <c r="AG18" s="11" t="s">
        <v>45</v>
      </c>
    </row>
    <row r="19" spans="1:33" x14ac:dyDescent="0.2">
      <c r="A19" s="8">
        <v>3026</v>
      </c>
      <c r="B19" s="9" t="s">
        <v>104</v>
      </c>
      <c r="C19" s="10">
        <v>43287</v>
      </c>
      <c r="D19" s="11">
        <v>12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105</v>
      </c>
      <c r="J19" s="12" t="s">
        <v>106</v>
      </c>
      <c r="K19" s="13" t="s">
        <v>39</v>
      </c>
      <c r="L19" s="11" t="str">
        <f>"000075"</f>
        <v>000075</v>
      </c>
      <c r="M19" s="10">
        <v>42453</v>
      </c>
      <c r="N19" s="11" t="str">
        <f>"000136"</f>
        <v>000136</v>
      </c>
      <c r="O19" s="10">
        <v>42699</v>
      </c>
      <c r="P19" s="11" t="str">
        <f>"000531"</f>
        <v>000531</v>
      </c>
      <c r="Q19" s="10">
        <v>42704</v>
      </c>
      <c r="R19" s="11">
        <v>16</v>
      </c>
      <c r="S19" s="11" t="str">
        <f>"003257"</f>
        <v>003257</v>
      </c>
      <c r="T19" s="10">
        <v>43283</v>
      </c>
      <c r="U19" s="14">
        <v>8.6946600000000007</v>
      </c>
      <c r="V19" s="14">
        <v>0.56572</v>
      </c>
      <c r="W19" s="14">
        <v>8.1289400000000001</v>
      </c>
      <c r="X19" s="11">
        <v>113</v>
      </c>
      <c r="Y19" s="10">
        <v>43287</v>
      </c>
      <c r="Z19" s="11">
        <v>9242199920</v>
      </c>
      <c r="AA19" s="12" t="s">
        <v>107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v>8.6946600000000013E-2</v>
      </c>
      <c r="AG19" s="11" t="s">
        <v>45</v>
      </c>
    </row>
    <row r="20" spans="1:33" x14ac:dyDescent="0.2">
      <c r="A20" s="8">
        <v>3027</v>
      </c>
      <c r="B20" s="9" t="s">
        <v>104</v>
      </c>
      <c r="C20" s="10">
        <v>43287</v>
      </c>
      <c r="D20" s="11">
        <v>12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108</v>
      </c>
      <c r="J20" s="12" t="s">
        <v>109</v>
      </c>
      <c r="K20" s="13" t="s">
        <v>39</v>
      </c>
      <c r="L20" s="11" t="str">
        <f>"000406"</f>
        <v>000406</v>
      </c>
      <c r="M20" s="10">
        <v>42094</v>
      </c>
      <c r="N20" s="11" t="str">
        <f>"000094"</f>
        <v>000094</v>
      </c>
      <c r="O20" s="10">
        <v>42551</v>
      </c>
      <c r="P20" s="11" t="str">
        <f>"000306"</f>
        <v>000306</v>
      </c>
      <c r="Q20" s="10">
        <v>42559</v>
      </c>
      <c r="R20" s="11">
        <v>15</v>
      </c>
      <c r="S20" s="11" t="str">
        <f>"003316"</f>
        <v>003316</v>
      </c>
      <c r="T20" s="10">
        <v>43285</v>
      </c>
      <c r="U20" s="14">
        <v>14.12642</v>
      </c>
      <c r="V20" s="14">
        <v>1.0099899999999999</v>
      </c>
      <c r="W20" s="14">
        <v>13.116429999999999</v>
      </c>
      <c r="X20" s="11">
        <v>113</v>
      </c>
      <c r="Y20" s="10">
        <v>43287</v>
      </c>
      <c r="Z20" s="11">
        <v>9731223456</v>
      </c>
      <c r="AA20" s="12" t="s">
        <v>110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v>0.14126420000000001</v>
      </c>
      <c r="AG20" s="11" t="s">
        <v>45</v>
      </c>
    </row>
    <row r="21" spans="1:33" x14ac:dyDescent="0.2">
      <c r="A21" s="8">
        <v>3267</v>
      </c>
      <c r="B21" s="9" t="s">
        <v>104</v>
      </c>
      <c r="C21" s="10">
        <v>43297</v>
      </c>
      <c r="D21" s="11">
        <v>12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111</v>
      </c>
      <c r="J21" s="12" t="s">
        <v>112</v>
      </c>
      <c r="K21" s="13" t="s">
        <v>39</v>
      </c>
      <c r="L21" s="11" t="str">
        <f>"000407"</f>
        <v>000407</v>
      </c>
      <c r="M21" s="10">
        <v>42094</v>
      </c>
      <c r="N21" s="11" t="str">
        <f>"000096"</f>
        <v>000096</v>
      </c>
      <c r="O21" s="10">
        <v>42551</v>
      </c>
      <c r="P21" s="11" t="str">
        <f>"000305"</f>
        <v>000305</v>
      </c>
      <c r="Q21" s="10">
        <v>42559</v>
      </c>
      <c r="R21" s="11">
        <v>15</v>
      </c>
      <c r="S21" s="11" t="str">
        <f>"003490"</f>
        <v>003490</v>
      </c>
      <c r="T21" s="10">
        <v>43291</v>
      </c>
      <c r="U21" s="14">
        <v>17.40034</v>
      </c>
      <c r="V21" s="14">
        <v>1.2431000000000001</v>
      </c>
      <c r="W21" s="14">
        <v>16.157240000000002</v>
      </c>
      <c r="X21" s="11">
        <v>125</v>
      </c>
      <c r="Y21" s="10">
        <v>43297</v>
      </c>
      <c r="Z21" s="11">
        <v>9731223456</v>
      </c>
      <c r="AA21" s="12" t="s">
        <v>110</v>
      </c>
      <c r="AB21" s="11" t="s">
        <v>41</v>
      </c>
      <c r="AC21" s="12" t="s">
        <v>42</v>
      </c>
      <c r="AD21" s="11" t="s">
        <v>43</v>
      </c>
      <c r="AE21" s="12" t="s">
        <v>44</v>
      </c>
      <c r="AF21" s="14">
        <v>0.1740034</v>
      </c>
      <c r="AG21" s="11" t="s">
        <v>45</v>
      </c>
    </row>
    <row r="22" spans="1:33" x14ac:dyDescent="0.2">
      <c r="A22" s="8">
        <v>3406</v>
      </c>
      <c r="B22" s="9" t="s">
        <v>104</v>
      </c>
      <c r="C22" s="10">
        <v>43299</v>
      </c>
      <c r="D22" s="11">
        <v>12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113</v>
      </c>
      <c r="J22" s="12" t="s">
        <v>114</v>
      </c>
      <c r="K22" s="13" t="s">
        <v>75</v>
      </c>
      <c r="L22" s="11" t="str">
        <f>"00006A"</f>
        <v>00006A</v>
      </c>
      <c r="M22" s="10">
        <v>42697</v>
      </c>
      <c r="N22" s="11" t="str">
        <f>"000017"</f>
        <v>000017</v>
      </c>
      <c r="O22" s="10">
        <v>43106</v>
      </c>
      <c r="P22" s="11" t="str">
        <f>"000017"</f>
        <v>000017</v>
      </c>
      <c r="Q22" s="10">
        <v>43106</v>
      </c>
      <c r="R22" s="11">
        <v>16</v>
      </c>
      <c r="S22" s="11" t="str">
        <f>"003741"</f>
        <v>003741</v>
      </c>
      <c r="T22" s="10">
        <v>43294</v>
      </c>
      <c r="U22" s="14">
        <v>6.46997</v>
      </c>
      <c r="V22" s="14">
        <v>0.63776999999999995</v>
      </c>
      <c r="W22" s="14">
        <v>5.8322000000000003</v>
      </c>
      <c r="X22" s="11">
        <v>127</v>
      </c>
      <c r="Y22" s="10">
        <v>43299</v>
      </c>
      <c r="Z22" s="11">
        <v>9620516211</v>
      </c>
      <c r="AA22" s="12" t="s">
        <v>115</v>
      </c>
      <c r="AB22" s="11" t="s">
        <v>116</v>
      </c>
      <c r="AC22" s="12" t="s">
        <v>117</v>
      </c>
      <c r="AD22" s="11" t="s">
        <v>118</v>
      </c>
      <c r="AE22" s="12" t="s">
        <v>119</v>
      </c>
      <c r="AF22" s="14">
        <v>6.4699699999999999E-2</v>
      </c>
      <c r="AG22" s="11" t="s">
        <v>45</v>
      </c>
    </row>
    <row r="23" spans="1:33" x14ac:dyDescent="0.2">
      <c r="A23" s="8">
        <v>3407</v>
      </c>
      <c r="B23" s="9" t="s">
        <v>104</v>
      </c>
      <c r="C23" s="10">
        <v>43299</v>
      </c>
      <c r="D23" s="11">
        <v>12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120</v>
      </c>
      <c r="J23" s="12" t="s">
        <v>121</v>
      </c>
      <c r="K23" s="13" t="s">
        <v>75</v>
      </c>
      <c r="L23" s="11" t="str">
        <f>"00007A"</f>
        <v>00007A</v>
      </c>
      <c r="M23" s="10">
        <v>42697</v>
      </c>
      <c r="N23" s="11" t="str">
        <f>"000022"</f>
        <v>000022</v>
      </c>
      <c r="O23" s="10">
        <v>42916</v>
      </c>
      <c r="P23" s="11" t="str">
        <f>"000023"</f>
        <v>000023</v>
      </c>
      <c r="Q23" s="10">
        <v>42916</v>
      </c>
      <c r="R23" s="11">
        <v>16</v>
      </c>
      <c r="S23" s="11" t="str">
        <f>"004807"</f>
        <v>004807</v>
      </c>
      <c r="T23" s="10">
        <v>43315</v>
      </c>
      <c r="U23" s="14">
        <v>8.0073000000000008</v>
      </c>
      <c r="V23" s="14">
        <v>0.4909</v>
      </c>
      <c r="W23" s="14">
        <v>7.5164</v>
      </c>
      <c r="X23" s="11">
        <v>127</v>
      </c>
      <c r="Y23" s="10">
        <v>43299</v>
      </c>
      <c r="Z23" s="11">
        <v>9620516211</v>
      </c>
      <c r="AA23" s="12" t="s">
        <v>115</v>
      </c>
      <c r="AB23" s="11" t="s">
        <v>116</v>
      </c>
      <c r="AC23" s="12" t="s">
        <v>117</v>
      </c>
      <c r="AD23" s="11" t="s">
        <v>118</v>
      </c>
      <c r="AE23" s="12" t="s">
        <v>119</v>
      </c>
      <c r="AF23" s="14">
        <v>8.0073000000000005E-2</v>
      </c>
      <c r="AG23" s="11" t="s">
        <v>45</v>
      </c>
    </row>
    <row r="24" spans="1:33" x14ac:dyDescent="0.2">
      <c r="A24" s="8">
        <v>3408</v>
      </c>
      <c r="B24" s="9" t="s">
        <v>104</v>
      </c>
      <c r="C24" s="10">
        <v>43299</v>
      </c>
      <c r="D24" s="11">
        <v>12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113</v>
      </c>
      <c r="J24" s="12" t="s">
        <v>114</v>
      </c>
      <c r="K24" s="13" t="s">
        <v>75</v>
      </c>
      <c r="L24" s="11" t="str">
        <f>"00006A"</f>
        <v>00006A</v>
      </c>
      <c r="M24" s="10">
        <v>42697</v>
      </c>
      <c r="N24" s="11" t="str">
        <f>"000017"</f>
        <v>000017</v>
      </c>
      <c r="O24" s="10">
        <v>43106</v>
      </c>
      <c r="P24" s="11" t="str">
        <f>"000017"</f>
        <v>000017</v>
      </c>
      <c r="Q24" s="10">
        <v>43106</v>
      </c>
      <c r="R24" s="11">
        <v>16</v>
      </c>
      <c r="S24" s="11" t="str">
        <f>"003741"</f>
        <v>003741</v>
      </c>
      <c r="T24" s="10">
        <v>43294</v>
      </c>
      <c r="U24" s="14">
        <v>8.0837199999999996</v>
      </c>
      <c r="V24" s="14">
        <v>0.48731999999999998</v>
      </c>
      <c r="W24" s="14">
        <v>7.5964</v>
      </c>
      <c r="X24" s="11">
        <v>127</v>
      </c>
      <c r="Y24" s="10">
        <v>43299</v>
      </c>
      <c r="Z24" s="11">
        <v>9620516211</v>
      </c>
      <c r="AA24" s="12" t="s">
        <v>115</v>
      </c>
      <c r="AB24" s="11" t="s">
        <v>116</v>
      </c>
      <c r="AC24" s="12" t="s">
        <v>117</v>
      </c>
      <c r="AD24" s="11" t="s">
        <v>118</v>
      </c>
      <c r="AE24" s="12" t="s">
        <v>119</v>
      </c>
      <c r="AF24" s="14">
        <v>8.0837199999999998E-2</v>
      </c>
      <c r="AG24" s="11" t="s">
        <v>45</v>
      </c>
    </row>
    <row r="25" spans="1:33" x14ac:dyDescent="0.2">
      <c r="A25" s="8">
        <v>3806</v>
      </c>
      <c r="B25" s="9" t="s">
        <v>104</v>
      </c>
      <c r="C25" s="10">
        <v>43304</v>
      </c>
      <c r="D25" s="11">
        <v>12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122</v>
      </c>
      <c r="J25" s="12" t="s">
        <v>123</v>
      </c>
      <c r="K25" s="13" t="s">
        <v>39</v>
      </c>
      <c r="L25" s="11" t="str">
        <f>"000210"</f>
        <v>000210</v>
      </c>
      <c r="M25" s="10">
        <v>43133</v>
      </c>
      <c r="N25" s="11" t="str">
        <f>"000021"</f>
        <v>000021</v>
      </c>
      <c r="O25" s="10">
        <v>43281</v>
      </c>
      <c r="P25" s="11" t="str">
        <f>"000093"</f>
        <v>000093</v>
      </c>
      <c r="Q25" s="10">
        <v>43284</v>
      </c>
      <c r="R25" s="11">
        <v>17</v>
      </c>
      <c r="S25" s="11" t="str">
        <f>"004073"</f>
        <v>004073</v>
      </c>
      <c r="T25" s="10">
        <v>43301</v>
      </c>
      <c r="U25" s="14">
        <v>99.712670000000003</v>
      </c>
      <c r="V25" s="14">
        <v>2.9857800000000001</v>
      </c>
      <c r="W25" s="14">
        <v>96.726889999999997</v>
      </c>
      <c r="X25" s="11">
        <v>137</v>
      </c>
      <c r="Y25" s="10">
        <v>43304</v>
      </c>
      <c r="Z25" s="11">
        <v>9449219009</v>
      </c>
      <c r="AA25" s="12" t="s">
        <v>124</v>
      </c>
      <c r="AB25" s="11" t="s">
        <v>77</v>
      </c>
      <c r="AC25" s="12" t="s">
        <v>78</v>
      </c>
      <c r="AD25" s="11" t="s">
        <v>43</v>
      </c>
      <c r="AE25" s="12" t="s">
        <v>44</v>
      </c>
      <c r="AF25" s="14">
        <v>0.99712670000000003</v>
      </c>
      <c r="AG25" s="11" t="s">
        <v>79</v>
      </c>
    </row>
    <row r="26" spans="1:33" x14ac:dyDescent="0.2">
      <c r="A26" s="8">
        <v>3961</v>
      </c>
      <c r="B26" s="9" t="s">
        <v>104</v>
      </c>
      <c r="C26" s="10">
        <v>43307</v>
      </c>
      <c r="D26" s="11">
        <v>12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125</v>
      </c>
      <c r="J26" s="12" t="s">
        <v>126</v>
      </c>
      <c r="K26" s="13" t="s">
        <v>127</v>
      </c>
      <c r="L26" s="11" t="str">
        <f>"00O044"</f>
        <v>00O044</v>
      </c>
      <c r="M26" s="10">
        <v>42769</v>
      </c>
      <c r="N26" s="11" t="str">
        <f>"000017"</f>
        <v>000017</v>
      </c>
      <c r="O26" s="10">
        <v>42867</v>
      </c>
      <c r="P26" s="11" t="str">
        <f>"000060"</f>
        <v>000060</v>
      </c>
      <c r="Q26" s="10">
        <v>42885</v>
      </c>
      <c r="R26" s="11">
        <v>17</v>
      </c>
      <c r="S26" s="11" t="str">
        <f>"004229"</f>
        <v>004229</v>
      </c>
      <c r="T26" s="10">
        <v>43305</v>
      </c>
      <c r="U26" s="14">
        <v>9.0291999999999994</v>
      </c>
      <c r="V26" s="14">
        <v>0.18961</v>
      </c>
      <c r="W26" s="14">
        <v>8.8395899999999994</v>
      </c>
      <c r="X26" s="11">
        <v>142</v>
      </c>
      <c r="Y26" s="10">
        <v>43307</v>
      </c>
      <c r="Z26" s="11">
        <v>9972045970</v>
      </c>
      <c r="AA26" s="12" t="s">
        <v>128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v>9.0291999999999997E-2</v>
      </c>
      <c r="AG26" s="11" t="s">
        <v>45</v>
      </c>
    </row>
    <row r="27" spans="1:33" x14ac:dyDescent="0.2">
      <c r="A27" s="8">
        <v>4361</v>
      </c>
      <c r="B27" s="9" t="s">
        <v>129</v>
      </c>
      <c r="C27" s="10">
        <v>43318</v>
      </c>
      <c r="D27" s="11">
        <v>12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120</v>
      </c>
      <c r="J27" s="12" t="s">
        <v>121</v>
      </c>
      <c r="K27" s="13" t="s">
        <v>75</v>
      </c>
      <c r="L27" s="11" t="str">
        <f>"00007A"</f>
        <v>00007A</v>
      </c>
      <c r="M27" s="10">
        <v>42697</v>
      </c>
      <c r="N27" s="11" t="str">
        <f>"000022"</f>
        <v>000022</v>
      </c>
      <c r="O27" s="10">
        <v>42916</v>
      </c>
      <c r="P27" s="11" t="str">
        <f>"000023"</f>
        <v>000023</v>
      </c>
      <c r="Q27" s="10">
        <v>42916</v>
      </c>
      <c r="R27" s="11">
        <v>16</v>
      </c>
      <c r="S27" s="11" t="str">
        <f>"004807"</f>
        <v>004807</v>
      </c>
      <c r="T27" s="10">
        <v>43315</v>
      </c>
      <c r="U27" s="14">
        <v>6.4258199999999999</v>
      </c>
      <c r="V27" s="14">
        <v>0.62777000000000005</v>
      </c>
      <c r="W27" s="14">
        <v>5.7980499999999999</v>
      </c>
      <c r="X27" s="11">
        <v>157</v>
      </c>
      <c r="Y27" s="10">
        <v>43318</v>
      </c>
      <c r="Z27" s="11">
        <v>9620516211</v>
      </c>
      <c r="AA27" s="12" t="s">
        <v>115</v>
      </c>
      <c r="AB27" s="11" t="s">
        <v>116</v>
      </c>
      <c r="AC27" s="12" t="s">
        <v>117</v>
      </c>
      <c r="AD27" s="11" t="s">
        <v>118</v>
      </c>
      <c r="AE27" s="12" t="s">
        <v>119</v>
      </c>
      <c r="AF27" s="14">
        <v>6.4258200000000001E-2</v>
      </c>
      <c r="AG27" s="11" t="s">
        <v>45</v>
      </c>
    </row>
    <row r="28" spans="1:33" x14ac:dyDescent="0.2">
      <c r="A28" s="8">
        <v>4362</v>
      </c>
      <c r="B28" s="9" t="s">
        <v>129</v>
      </c>
      <c r="C28" s="10">
        <v>43318</v>
      </c>
      <c r="D28" s="11">
        <v>12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130</v>
      </c>
      <c r="J28" s="12" t="s">
        <v>131</v>
      </c>
      <c r="K28" s="13" t="s">
        <v>132</v>
      </c>
      <c r="L28" s="11" t="str">
        <f>"00017A"</f>
        <v>00017A</v>
      </c>
      <c r="M28" s="10">
        <v>42797</v>
      </c>
      <c r="N28" s="11" t="str">
        <f>"000001"</f>
        <v>000001</v>
      </c>
      <c r="O28" s="10">
        <v>42844</v>
      </c>
      <c r="P28" s="11" t="str">
        <f>"000001"</f>
        <v>000001</v>
      </c>
      <c r="Q28" s="10">
        <v>42845</v>
      </c>
      <c r="R28" s="11">
        <v>15</v>
      </c>
      <c r="S28" s="11" t="str">
        <f>"004862"</f>
        <v>004862</v>
      </c>
      <c r="T28" s="10">
        <v>43316</v>
      </c>
      <c r="U28" s="14">
        <v>3.1455799999999998</v>
      </c>
      <c r="V28" s="14">
        <v>0.38068000000000002</v>
      </c>
      <c r="W28" s="14">
        <v>2.7648999999999999</v>
      </c>
      <c r="X28" s="11">
        <v>158</v>
      </c>
      <c r="Y28" s="10">
        <v>43318</v>
      </c>
      <c r="Z28" s="11">
        <v>9986313631</v>
      </c>
      <c r="AA28" s="12" t="s">
        <v>133</v>
      </c>
      <c r="AB28" s="11" t="s">
        <v>134</v>
      </c>
      <c r="AC28" s="12" t="s">
        <v>135</v>
      </c>
      <c r="AD28" s="11" t="s">
        <v>118</v>
      </c>
      <c r="AE28" s="12" t="s">
        <v>119</v>
      </c>
      <c r="AF28" s="14">
        <v>3.1455799999999999E-2</v>
      </c>
      <c r="AG28" s="11" t="s">
        <v>45</v>
      </c>
    </row>
    <row r="29" spans="1:33" x14ac:dyDescent="0.2">
      <c r="A29" s="8">
        <v>4363</v>
      </c>
      <c r="B29" s="9" t="s">
        <v>129</v>
      </c>
      <c r="C29" s="10">
        <v>43318</v>
      </c>
      <c r="D29" s="11">
        <v>12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136</v>
      </c>
      <c r="J29" s="12" t="s">
        <v>137</v>
      </c>
      <c r="K29" s="13" t="s">
        <v>132</v>
      </c>
      <c r="L29" s="11" t="str">
        <f>"000018"</f>
        <v>000018</v>
      </c>
      <c r="M29" s="10">
        <v>42797</v>
      </c>
      <c r="N29" s="11" t="str">
        <f>"000002"</f>
        <v>000002</v>
      </c>
      <c r="O29" s="10">
        <v>42844</v>
      </c>
      <c r="P29" s="11" t="str">
        <f>"000002"</f>
        <v>000002</v>
      </c>
      <c r="Q29" s="10">
        <v>42845</v>
      </c>
      <c r="R29" s="11">
        <v>15</v>
      </c>
      <c r="S29" s="11" t="str">
        <f>"004863"</f>
        <v>004863</v>
      </c>
      <c r="T29" s="10">
        <v>43316</v>
      </c>
      <c r="U29" s="14">
        <v>5.1886999999999999</v>
      </c>
      <c r="V29" s="14">
        <v>0.62790000000000001</v>
      </c>
      <c r="W29" s="14">
        <v>4.5608000000000004</v>
      </c>
      <c r="X29" s="11">
        <v>158</v>
      </c>
      <c r="Y29" s="10">
        <v>43318</v>
      </c>
      <c r="Z29" s="11">
        <v>9986313631</v>
      </c>
      <c r="AA29" s="12" t="s">
        <v>138</v>
      </c>
      <c r="AB29" s="11" t="s">
        <v>134</v>
      </c>
      <c r="AC29" s="12" t="s">
        <v>135</v>
      </c>
      <c r="AD29" s="11" t="s">
        <v>118</v>
      </c>
      <c r="AE29" s="12" t="s">
        <v>119</v>
      </c>
      <c r="AF29" s="14">
        <v>5.1886999999999996E-2</v>
      </c>
      <c r="AG29" s="11" t="s">
        <v>45</v>
      </c>
    </row>
    <row r="30" spans="1:33" x14ac:dyDescent="0.2">
      <c r="A30" s="8">
        <v>4728</v>
      </c>
      <c r="B30" s="9" t="s">
        <v>129</v>
      </c>
      <c r="C30" s="10">
        <v>43326</v>
      </c>
      <c r="D30" s="11">
        <v>12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139</v>
      </c>
      <c r="J30" s="12" t="s">
        <v>140</v>
      </c>
      <c r="K30" s="13" t="s">
        <v>103</v>
      </c>
      <c r="L30" s="11" t="str">
        <f>"000O34"</f>
        <v>000O34</v>
      </c>
      <c r="M30" s="10">
        <v>42548</v>
      </c>
      <c r="N30" s="11" t="str">
        <f>"000161"</f>
        <v>000161</v>
      </c>
      <c r="O30" s="10">
        <v>42815</v>
      </c>
      <c r="P30" s="11" t="str">
        <f>"000651"</f>
        <v>000651</v>
      </c>
      <c r="Q30" s="10">
        <v>42815</v>
      </c>
      <c r="R30" s="11">
        <v>15</v>
      </c>
      <c r="S30" s="11" t="str">
        <f>"004942"</f>
        <v>004942</v>
      </c>
      <c r="T30" s="10">
        <v>43318</v>
      </c>
      <c r="U30" s="14">
        <v>19.472359999999998</v>
      </c>
      <c r="V30" s="14">
        <v>2.64621</v>
      </c>
      <c r="W30" s="14">
        <v>16.826149999999998</v>
      </c>
      <c r="X30" s="11">
        <v>170</v>
      </c>
      <c r="Y30" s="10">
        <v>43326</v>
      </c>
      <c r="Z30" s="11">
        <v>9880269170</v>
      </c>
      <c r="AA30" s="12" t="s">
        <v>49</v>
      </c>
      <c r="AB30" s="11" t="s">
        <v>41</v>
      </c>
      <c r="AC30" s="12" t="s">
        <v>42</v>
      </c>
      <c r="AD30" s="11" t="s">
        <v>43</v>
      </c>
      <c r="AE30" s="12" t="s">
        <v>44</v>
      </c>
      <c r="AF30" s="14">
        <v>0.1947236</v>
      </c>
      <c r="AG30" s="11" t="s">
        <v>45</v>
      </c>
    </row>
    <row r="31" spans="1:33" x14ac:dyDescent="0.2">
      <c r="A31" s="8">
        <v>4729</v>
      </c>
      <c r="B31" s="9" t="s">
        <v>129</v>
      </c>
      <c r="C31" s="10">
        <v>43326</v>
      </c>
      <c r="D31" s="11">
        <v>12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101</v>
      </c>
      <c r="J31" s="12" t="s">
        <v>102</v>
      </c>
      <c r="K31" s="13" t="s">
        <v>103</v>
      </c>
      <c r="L31" s="11" t="str">
        <f>"000114"</f>
        <v>000114</v>
      </c>
      <c r="M31" s="10">
        <v>42460</v>
      </c>
      <c r="N31" s="11" t="str">
        <f>"000133"</f>
        <v>000133</v>
      </c>
      <c r="O31" s="10">
        <v>42669</v>
      </c>
      <c r="P31" s="11" t="str">
        <f>"000510"</f>
        <v>000510</v>
      </c>
      <c r="Q31" s="10">
        <v>42671</v>
      </c>
      <c r="R31" s="11">
        <v>12</v>
      </c>
      <c r="S31" s="11" t="str">
        <f>"002914"</f>
        <v>002914</v>
      </c>
      <c r="T31" s="10">
        <v>43276</v>
      </c>
      <c r="U31" s="14">
        <v>9.9986599999999992</v>
      </c>
      <c r="V31" s="14">
        <v>1.3348199999999999</v>
      </c>
      <c r="W31" s="14">
        <v>8.6638400000000004</v>
      </c>
      <c r="X31" s="11">
        <v>170</v>
      </c>
      <c r="Y31" s="10">
        <v>43326</v>
      </c>
      <c r="Z31" s="11">
        <v>9880269170</v>
      </c>
      <c r="AA31" s="12" t="s">
        <v>49</v>
      </c>
      <c r="AB31" s="11" t="s">
        <v>41</v>
      </c>
      <c r="AC31" s="12" t="s">
        <v>42</v>
      </c>
      <c r="AD31" s="11" t="s">
        <v>43</v>
      </c>
      <c r="AE31" s="12" t="s">
        <v>44</v>
      </c>
      <c r="AF31" s="14">
        <v>9.9986599999999995E-2</v>
      </c>
      <c r="AG31" s="11" t="s">
        <v>45</v>
      </c>
    </row>
    <row r="32" spans="1:33" x14ac:dyDescent="0.2">
      <c r="A32" s="8">
        <v>4730</v>
      </c>
      <c r="B32" s="9" t="s">
        <v>129</v>
      </c>
      <c r="C32" s="10">
        <v>43326</v>
      </c>
      <c r="D32" s="11">
        <v>12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141</v>
      </c>
      <c r="J32" s="12" t="s">
        <v>142</v>
      </c>
      <c r="K32" s="13" t="s">
        <v>39</v>
      </c>
      <c r="L32" s="11" t="str">
        <f>"000042"</f>
        <v>000042</v>
      </c>
      <c r="M32" s="10">
        <v>42453</v>
      </c>
      <c r="N32" s="11" t="str">
        <f>"000162"</f>
        <v>000162</v>
      </c>
      <c r="O32" s="10">
        <v>42822</v>
      </c>
      <c r="P32" s="11" t="str">
        <f>"000688"</f>
        <v>000688</v>
      </c>
      <c r="Q32" s="10">
        <v>42822</v>
      </c>
      <c r="R32" s="11">
        <v>16</v>
      </c>
      <c r="S32" s="11" t="str">
        <f>"005019"</f>
        <v>005019</v>
      </c>
      <c r="T32" s="10">
        <v>43320</v>
      </c>
      <c r="U32" s="14">
        <v>15.30608</v>
      </c>
      <c r="V32" s="14">
        <v>1.125</v>
      </c>
      <c r="W32" s="14">
        <v>14.18108</v>
      </c>
      <c r="X32" s="11">
        <v>170</v>
      </c>
      <c r="Y32" s="10">
        <v>43326</v>
      </c>
      <c r="Z32" s="11">
        <v>9448510633</v>
      </c>
      <c r="AA32" s="12" t="s">
        <v>143</v>
      </c>
      <c r="AB32" s="11" t="s">
        <v>41</v>
      </c>
      <c r="AC32" s="12" t="s">
        <v>42</v>
      </c>
      <c r="AD32" s="11" t="s">
        <v>43</v>
      </c>
      <c r="AE32" s="12" t="s">
        <v>44</v>
      </c>
      <c r="AF32" s="14">
        <v>0.1530608</v>
      </c>
      <c r="AG32" s="11" t="s">
        <v>45</v>
      </c>
    </row>
    <row r="33" spans="1:33" x14ac:dyDescent="0.2">
      <c r="A33" s="8">
        <v>5070</v>
      </c>
      <c r="B33" s="9" t="s">
        <v>129</v>
      </c>
      <c r="C33" s="10">
        <v>43337</v>
      </c>
      <c r="D33" s="11">
        <v>12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87</v>
      </c>
      <c r="J33" s="12" t="s">
        <v>88</v>
      </c>
      <c r="K33" s="13" t="s">
        <v>39</v>
      </c>
      <c r="L33" s="11" t="str">
        <f>"000175"</f>
        <v>000175</v>
      </c>
      <c r="M33" s="10">
        <v>43099</v>
      </c>
      <c r="N33" s="11" t="str">
        <f>"000030"</f>
        <v>000030</v>
      </c>
      <c r="O33" s="10">
        <v>43287</v>
      </c>
      <c r="P33" s="11" t="str">
        <f>"000118"</f>
        <v>000118</v>
      </c>
      <c r="Q33" s="10">
        <v>43297</v>
      </c>
      <c r="R33" s="11">
        <v>18</v>
      </c>
      <c r="S33" s="11" t="str">
        <f>"005256"</f>
        <v>005256</v>
      </c>
      <c r="T33" s="10">
        <v>43326</v>
      </c>
      <c r="U33" s="14">
        <v>4.9054099999999998</v>
      </c>
      <c r="V33" s="14">
        <v>0.15157000000000001</v>
      </c>
      <c r="W33" s="14">
        <v>4.7538400000000003</v>
      </c>
      <c r="X33" s="11">
        <v>181</v>
      </c>
      <c r="Y33" s="10">
        <v>43337</v>
      </c>
      <c r="Z33" s="11">
        <v>9972045970</v>
      </c>
      <c r="AA33" s="12" t="s">
        <v>89</v>
      </c>
      <c r="AB33" s="11" t="s">
        <v>90</v>
      </c>
      <c r="AC33" s="12" t="s">
        <v>91</v>
      </c>
      <c r="AD33" s="11" t="s">
        <v>43</v>
      </c>
      <c r="AE33" s="12" t="s">
        <v>44</v>
      </c>
      <c r="AF33" s="14">
        <v>4.9054099999999996E-2</v>
      </c>
      <c r="AG33" s="11" t="s">
        <v>79</v>
      </c>
    </row>
    <row r="34" spans="1:33" x14ac:dyDescent="0.2">
      <c r="A34" s="8">
        <v>5125</v>
      </c>
      <c r="B34" s="9" t="s">
        <v>129</v>
      </c>
      <c r="C34" s="10">
        <v>43339</v>
      </c>
      <c r="D34" s="11">
        <v>12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144</v>
      </c>
      <c r="J34" s="12" t="s">
        <v>145</v>
      </c>
      <c r="K34" s="13" t="s">
        <v>75</v>
      </c>
      <c r="L34" s="11" t="str">
        <f>"000100"</f>
        <v>000100</v>
      </c>
      <c r="M34" s="10">
        <v>43075</v>
      </c>
      <c r="N34" s="11" t="str">
        <f>"000029"</f>
        <v>000029</v>
      </c>
      <c r="O34" s="10">
        <v>43287</v>
      </c>
      <c r="P34" s="11" t="str">
        <f>"000119"</f>
        <v>000119</v>
      </c>
      <c r="Q34" s="10">
        <v>43297</v>
      </c>
      <c r="R34" s="11">
        <v>17</v>
      </c>
      <c r="S34" s="11" t="str">
        <f>"005395"</f>
        <v>005395</v>
      </c>
      <c r="T34" s="10">
        <v>43339</v>
      </c>
      <c r="U34" s="14">
        <v>10.98014</v>
      </c>
      <c r="V34" s="14">
        <v>0.23058000000000001</v>
      </c>
      <c r="W34" s="14">
        <v>10.749560000000001</v>
      </c>
      <c r="X34" s="11">
        <v>184</v>
      </c>
      <c r="Y34" s="10">
        <v>43339</v>
      </c>
      <c r="Z34" s="11">
        <v>9972045970</v>
      </c>
      <c r="AA34" s="12" t="s">
        <v>146</v>
      </c>
      <c r="AB34" s="11" t="s">
        <v>77</v>
      </c>
      <c r="AC34" s="12" t="s">
        <v>78</v>
      </c>
      <c r="AD34" s="11" t="s">
        <v>43</v>
      </c>
      <c r="AE34" s="12" t="s">
        <v>44</v>
      </c>
      <c r="AF34" s="14">
        <v>0.10980140000000001</v>
      </c>
      <c r="AG34" s="11" t="s">
        <v>79</v>
      </c>
    </row>
    <row r="35" spans="1:33" x14ac:dyDescent="0.2">
      <c r="A35" s="8">
        <v>5167</v>
      </c>
      <c r="B35" s="9" t="s">
        <v>147</v>
      </c>
      <c r="C35" s="10">
        <v>43346</v>
      </c>
      <c r="D35" s="11">
        <v>12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148</v>
      </c>
      <c r="J35" s="12" t="s">
        <v>149</v>
      </c>
      <c r="K35" s="13" t="s">
        <v>103</v>
      </c>
      <c r="L35" s="11" t="str">
        <f>"00000O"</f>
        <v>00000O</v>
      </c>
      <c r="M35" s="10">
        <v>41815</v>
      </c>
      <c r="N35" s="11" t="str">
        <f>"000164"</f>
        <v>000164</v>
      </c>
      <c r="O35" s="10">
        <v>42822</v>
      </c>
      <c r="P35" s="11" t="str">
        <f>"000697"</f>
        <v>000697</v>
      </c>
      <c r="Q35" s="10">
        <v>42825</v>
      </c>
      <c r="R35" s="11">
        <v>14</v>
      </c>
      <c r="S35" s="11" t="str">
        <f>"005323"</f>
        <v>005323</v>
      </c>
      <c r="T35" s="10">
        <v>43333</v>
      </c>
      <c r="U35" s="14">
        <v>49.523389999999999</v>
      </c>
      <c r="V35" s="14">
        <v>6.6501299999999999</v>
      </c>
      <c r="W35" s="14">
        <v>42.873260000000002</v>
      </c>
      <c r="X35" s="11">
        <v>193</v>
      </c>
      <c r="Y35" s="10">
        <v>43346</v>
      </c>
      <c r="Z35" s="11">
        <v>9889219009</v>
      </c>
      <c r="AA35" s="12" t="s">
        <v>49</v>
      </c>
      <c r="AB35" s="11" t="s">
        <v>150</v>
      </c>
      <c r="AC35" s="12" t="s">
        <v>151</v>
      </c>
      <c r="AD35" s="11" t="s">
        <v>43</v>
      </c>
      <c r="AE35" s="12" t="s">
        <v>44</v>
      </c>
      <c r="AF35" s="14">
        <f t="shared" ref="AF35:AF57" si="0">U35/100</f>
        <v>0.4952339</v>
      </c>
      <c r="AG35" s="11" t="s">
        <v>45</v>
      </c>
    </row>
    <row r="36" spans="1:33" x14ac:dyDescent="0.2">
      <c r="A36" s="8">
        <v>5168</v>
      </c>
      <c r="B36" s="9" t="s">
        <v>147</v>
      </c>
      <c r="C36" s="10">
        <v>43346</v>
      </c>
      <c r="D36" s="11">
        <v>12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152</v>
      </c>
      <c r="J36" s="12" t="s">
        <v>153</v>
      </c>
      <c r="K36" s="13" t="s">
        <v>39</v>
      </c>
      <c r="L36" s="11" t="str">
        <f>"000052"</f>
        <v>000052</v>
      </c>
      <c r="M36" s="10">
        <v>42453</v>
      </c>
      <c r="N36" s="11" t="str">
        <f>"000163"</f>
        <v>000163</v>
      </c>
      <c r="O36" s="10">
        <v>42822</v>
      </c>
      <c r="P36" s="11" t="str">
        <f>"000696"</f>
        <v>000696</v>
      </c>
      <c r="Q36" s="10">
        <v>42825</v>
      </c>
      <c r="R36" s="11">
        <v>16</v>
      </c>
      <c r="S36" s="11" t="str">
        <f>"005360"</f>
        <v>005360</v>
      </c>
      <c r="T36" s="10">
        <v>43335</v>
      </c>
      <c r="U36" s="14">
        <v>15.82178</v>
      </c>
      <c r="V36" s="14">
        <v>1.16323</v>
      </c>
      <c r="W36" s="14">
        <v>14.65855</v>
      </c>
      <c r="X36" s="11">
        <v>193</v>
      </c>
      <c r="Y36" s="10">
        <v>43346</v>
      </c>
      <c r="Z36" s="11">
        <v>9036033962</v>
      </c>
      <c r="AA36" s="12" t="s">
        <v>154</v>
      </c>
      <c r="AB36" s="11" t="s">
        <v>41</v>
      </c>
      <c r="AC36" s="12" t="s">
        <v>42</v>
      </c>
      <c r="AD36" s="11" t="s">
        <v>43</v>
      </c>
      <c r="AE36" s="12" t="s">
        <v>44</v>
      </c>
      <c r="AF36" s="14">
        <f t="shared" si="0"/>
        <v>0.15821779999999999</v>
      </c>
      <c r="AG36" s="11" t="s">
        <v>45</v>
      </c>
    </row>
    <row r="37" spans="1:33" x14ac:dyDescent="0.2">
      <c r="A37" s="8">
        <v>5443</v>
      </c>
      <c r="B37" s="9" t="s">
        <v>147</v>
      </c>
      <c r="C37" s="10">
        <v>43357</v>
      </c>
      <c r="D37" s="11">
        <v>12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155</v>
      </c>
      <c r="J37" s="12" t="s">
        <v>156</v>
      </c>
      <c r="K37" s="13" t="s">
        <v>48</v>
      </c>
      <c r="L37" s="11" t="str">
        <f>"000027"</f>
        <v>000027</v>
      </c>
      <c r="M37" s="10">
        <v>42826</v>
      </c>
      <c r="N37" s="11" t="str">
        <f>"000026"</f>
        <v>000026</v>
      </c>
      <c r="O37" s="10">
        <v>43066</v>
      </c>
      <c r="P37" s="11" t="str">
        <f>"000062"</f>
        <v>000062</v>
      </c>
      <c r="Q37" s="10">
        <v>43068</v>
      </c>
      <c r="R37" s="11">
        <v>17</v>
      </c>
      <c r="S37" s="11" t="str">
        <f>"005687"</f>
        <v>005687</v>
      </c>
      <c r="T37" s="10">
        <v>43350</v>
      </c>
      <c r="U37" s="14">
        <v>39.91048</v>
      </c>
      <c r="V37" s="14">
        <v>3.2327400000000002</v>
      </c>
      <c r="W37" s="14">
        <v>36.67774</v>
      </c>
      <c r="X37" s="11">
        <v>204</v>
      </c>
      <c r="Y37" s="10">
        <v>43357</v>
      </c>
      <c r="Z37" s="11">
        <v>9036033962</v>
      </c>
      <c r="AA37" s="12" t="s">
        <v>49</v>
      </c>
      <c r="AB37" s="11" t="s">
        <v>157</v>
      </c>
      <c r="AC37" s="12" t="s">
        <v>158</v>
      </c>
      <c r="AD37" s="11" t="s">
        <v>43</v>
      </c>
      <c r="AE37" s="12" t="s">
        <v>44</v>
      </c>
      <c r="AF37" s="14">
        <f t="shared" si="0"/>
        <v>0.39910479999999998</v>
      </c>
      <c r="AG37" s="11" t="s">
        <v>45</v>
      </c>
    </row>
    <row r="38" spans="1:33" x14ac:dyDescent="0.2">
      <c r="A38" s="8">
        <v>5595</v>
      </c>
      <c r="B38" s="9" t="s">
        <v>147</v>
      </c>
      <c r="C38" s="10">
        <v>43370</v>
      </c>
      <c r="D38" s="11">
        <v>12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159</v>
      </c>
      <c r="J38" s="12" t="s">
        <v>160</v>
      </c>
      <c r="K38" s="13" t="s">
        <v>161</v>
      </c>
      <c r="L38" s="11" t="str">
        <f>"000104"</f>
        <v>000104</v>
      </c>
      <c r="M38" s="10">
        <v>43075</v>
      </c>
      <c r="N38" s="11" t="str">
        <f>"000041"</f>
        <v>000041</v>
      </c>
      <c r="O38" s="10">
        <v>43337</v>
      </c>
      <c r="P38" s="11" t="str">
        <f>"000171"</f>
        <v>000171</v>
      </c>
      <c r="Q38" s="10">
        <v>43342</v>
      </c>
      <c r="R38" s="11">
        <v>17</v>
      </c>
      <c r="S38" s="11" t="str">
        <f>"006000"</f>
        <v>006000</v>
      </c>
      <c r="T38" s="10">
        <v>43369</v>
      </c>
      <c r="U38" s="14">
        <v>9.8857999999999997</v>
      </c>
      <c r="V38" s="14">
        <v>0.20760999999999999</v>
      </c>
      <c r="W38" s="14">
        <v>9.6781900000000007</v>
      </c>
      <c r="X38" s="11">
        <v>214</v>
      </c>
      <c r="Y38" s="10">
        <v>43370</v>
      </c>
      <c r="Z38" s="11">
        <v>9900175940</v>
      </c>
      <c r="AA38" s="12" t="s">
        <v>162</v>
      </c>
      <c r="AB38" s="11" t="s">
        <v>77</v>
      </c>
      <c r="AC38" s="12" t="s">
        <v>78</v>
      </c>
      <c r="AD38" s="11" t="s">
        <v>43</v>
      </c>
      <c r="AE38" s="12" t="s">
        <v>44</v>
      </c>
      <c r="AF38" s="14">
        <f t="shared" si="0"/>
        <v>9.8858000000000001E-2</v>
      </c>
      <c r="AG38" s="11" t="s">
        <v>79</v>
      </c>
    </row>
    <row r="39" spans="1:33" x14ac:dyDescent="0.2">
      <c r="A39" s="8">
        <v>5922</v>
      </c>
      <c r="B39" s="9" t="s">
        <v>163</v>
      </c>
      <c r="C39" s="10">
        <v>43385</v>
      </c>
      <c r="D39" s="11">
        <v>12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164</v>
      </c>
      <c r="J39" s="12" t="s">
        <v>165</v>
      </c>
      <c r="K39" s="13" t="s">
        <v>166</v>
      </c>
      <c r="L39" s="11" t="str">
        <f>"000002"</f>
        <v>000002</v>
      </c>
      <c r="M39" s="10">
        <v>43306</v>
      </c>
      <c r="N39" s="11" t="str">
        <f>"000002"</f>
        <v>000002</v>
      </c>
      <c r="O39" s="10">
        <v>43306</v>
      </c>
      <c r="P39" s="11" t="str">
        <f>"000082"</f>
        <v>000082</v>
      </c>
      <c r="Q39" s="10">
        <v>43306</v>
      </c>
      <c r="R39" s="11">
        <v>18</v>
      </c>
      <c r="S39" s="11" t="str">
        <f>"006319"</f>
        <v>006319</v>
      </c>
      <c r="T39" s="10">
        <v>43380</v>
      </c>
      <c r="U39" s="14">
        <v>82.33</v>
      </c>
      <c r="V39" s="14">
        <v>3.3519999999999999</v>
      </c>
      <c r="W39" s="14">
        <v>78.977999999999994</v>
      </c>
      <c r="X39" s="11">
        <v>232</v>
      </c>
      <c r="Y39" s="10">
        <v>43385</v>
      </c>
      <c r="Z39" s="11">
        <v>9886078454</v>
      </c>
      <c r="AA39" s="12" t="s">
        <v>167</v>
      </c>
      <c r="AB39" s="11" t="s">
        <v>168</v>
      </c>
      <c r="AC39" s="12" t="s">
        <v>169</v>
      </c>
      <c r="AD39" s="11" t="s">
        <v>170</v>
      </c>
      <c r="AE39" s="12" t="s">
        <v>171</v>
      </c>
      <c r="AF39" s="14">
        <f t="shared" si="0"/>
        <v>0.82330000000000003</v>
      </c>
      <c r="AG39" s="11" t="s">
        <v>172</v>
      </c>
    </row>
    <row r="40" spans="1:33" x14ac:dyDescent="0.2">
      <c r="A40" s="8">
        <v>6905</v>
      </c>
      <c r="B40" s="9" t="s">
        <v>163</v>
      </c>
      <c r="C40" s="10">
        <v>43402</v>
      </c>
      <c r="D40" s="11">
        <v>12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173</v>
      </c>
      <c r="J40" s="12" t="s">
        <v>174</v>
      </c>
      <c r="K40" s="13" t="s">
        <v>39</v>
      </c>
      <c r="L40" s="11" t="str">
        <f>"000347"</f>
        <v>000347</v>
      </c>
      <c r="M40" s="10">
        <v>43185</v>
      </c>
      <c r="N40" s="11" t="str">
        <f>"000033"</f>
        <v>000033</v>
      </c>
      <c r="O40" s="10">
        <v>43297</v>
      </c>
      <c r="P40" s="11" t="str">
        <f>"000120"</f>
        <v>000120</v>
      </c>
      <c r="Q40" s="10">
        <v>43298</v>
      </c>
      <c r="R40" s="11">
        <v>17</v>
      </c>
      <c r="S40" s="11" t="str">
        <f>"006988"</f>
        <v>006988</v>
      </c>
      <c r="T40" s="10">
        <v>43400</v>
      </c>
      <c r="U40" s="14">
        <v>49.523969999999998</v>
      </c>
      <c r="V40" s="14">
        <v>4.40733</v>
      </c>
      <c r="W40" s="14">
        <v>45.116639999999997</v>
      </c>
      <c r="X40" s="11">
        <v>252</v>
      </c>
      <c r="Y40" s="10">
        <v>43402</v>
      </c>
      <c r="Z40" s="11">
        <v>9449219009</v>
      </c>
      <c r="AA40" s="12" t="s">
        <v>49</v>
      </c>
      <c r="AB40" s="11" t="s">
        <v>175</v>
      </c>
      <c r="AC40" s="12" t="s">
        <v>176</v>
      </c>
      <c r="AD40" s="11" t="s">
        <v>43</v>
      </c>
      <c r="AE40" s="12" t="s">
        <v>44</v>
      </c>
      <c r="AF40" s="14">
        <f t="shared" si="0"/>
        <v>0.4952397</v>
      </c>
      <c r="AG40" s="11" t="s">
        <v>79</v>
      </c>
    </row>
    <row r="41" spans="1:33" x14ac:dyDescent="0.2">
      <c r="A41" s="8">
        <v>6906</v>
      </c>
      <c r="B41" s="9" t="s">
        <v>163</v>
      </c>
      <c r="C41" s="10">
        <v>43402</v>
      </c>
      <c r="D41" s="11">
        <v>12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177</v>
      </c>
      <c r="J41" s="12" t="s">
        <v>178</v>
      </c>
      <c r="K41" s="13" t="s">
        <v>39</v>
      </c>
      <c r="L41" s="11" t="str">
        <f>"000348"</f>
        <v>000348</v>
      </c>
      <c r="M41" s="10">
        <v>43185</v>
      </c>
      <c r="N41" s="11" t="str">
        <f>"000032"</f>
        <v>000032</v>
      </c>
      <c r="O41" s="10">
        <v>43297</v>
      </c>
      <c r="P41" s="11" t="str">
        <f>"000121"</f>
        <v>000121</v>
      </c>
      <c r="Q41" s="10">
        <v>43298</v>
      </c>
      <c r="R41" s="11">
        <v>17</v>
      </c>
      <c r="S41" s="11" t="str">
        <f>"006989"</f>
        <v>006989</v>
      </c>
      <c r="T41" s="10">
        <v>43400</v>
      </c>
      <c r="U41" s="14">
        <v>49.54374</v>
      </c>
      <c r="V41" s="14">
        <v>4.4023500000000002</v>
      </c>
      <c r="W41" s="14">
        <v>45.141390000000001</v>
      </c>
      <c r="X41" s="11">
        <v>252</v>
      </c>
      <c r="Y41" s="10">
        <v>43402</v>
      </c>
      <c r="Z41" s="11">
        <v>9449219009</v>
      </c>
      <c r="AA41" s="12" t="s">
        <v>49</v>
      </c>
      <c r="AB41" s="11" t="s">
        <v>175</v>
      </c>
      <c r="AC41" s="12" t="s">
        <v>176</v>
      </c>
      <c r="AD41" s="11" t="s">
        <v>43</v>
      </c>
      <c r="AE41" s="12" t="s">
        <v>44</v>
      </c>
      <c r="AF41" s="14">
        <f t="shared" si="0"/>
        <v>0.49543739999999997</v>
      </c>
      <c r="AG41" s="11" t="s">
        <v>79</v>
      </c>
    </row>
    <row r="42" spans="1:33" x14ac:dyDescent="0.2">
      <c r="A42" s="8">
        <v>6976</v>
      </c>
      <c r="B42" s="9" t="s">
        <v>163</v>
      </c>
      <c r="C42" s="10">
        <v>43403</v>
      </c>
      <c r="D42" s="11">
        <v>12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179</v>
      </c>
      <c r="J42" s="12" t="s">
        <v>180</v>
      </c>
      <c r="K42" s="13" t="s">
        <v>132</v>
      </c>
      <c r="L42" s="11" t="str">
        <f>"000019"</f>
        <v>000019</v>
      </c>
      <c r="M42" s="10">
        <v>42797</v>
      </c>
      <c r="N42" s="11" t="str">
        <f>"000003"</f>
        <v>000003</v>
      </c>
      <c r="O42" s="10">
        <v>42844</v>
      </c>
      <c r="P42" s="11" t="str">
        <f>"000003"</f>
        <v>000003</v>
      </c>
      <c r="Q42" s="10">
        <v>42845</v>
      </c>
      <c r="R42" s="11">
        <v>15</v>
      </c>
      <c r="S42" s="11" t="str">
        <f>"004864"</f>
        <v>004864</v>
      </c>
      <c r="T42" s="10">
        <v>43316</v>
      </c>
      <c r="U42" s="14">
        <v>5.4898899999999999</v>
      </c>
      <c r="V42" s="14">
        <v>0.66429000000000005</v>
      </c>
      <c r="W42" s="14">
        <v>4.8255999999999997</v>
      </c>
      <c r="X42" s="11">
        <v>255</v>
      </c>
      <c r="Y42" s="10">
        <v>43403</v>
      </c>
      <c r="Z42" s="11">
        <v>9986313631</v>
      </c>
      <c r="AA42" s="12" t="s">
        <v>138</v>
      </c>
      <c r="AB42" s="11" t="s">
        <v>134</v>
      </c>
      <c r="AC42" s="12" t="s">
        <v>135</v>
      </c>
      <c r="AD42" s="11" t="s">
        <v>118</v>
      </c>
      <c r="AE42" s="12" t="s">
        <v>119</v>
      </c>
      <c r="AF42" s="14">
        <f t="shared" si="0"/>
        <v>5.48989E-2</v>
      </c>
      <c r="AG42" s="11" t="s">
        <v>45</v>
      </c>
    </row>
    <row r="43" spans="1:33" x14ac:dyDescent="0.2">
      <c r="A43" s="8">
        <v>7143</v>
      </c>
      <c r="B43" s="9" t="s">
        <v>181</v>
      </c>
      <c r="C43" s="10">
        <v>43418</v>
      </c>
      <c r="D43" s="11">
        <v>12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182</v>
      </c>
      <c r="J43" s="12" t="s">
        <v>183</v>
      </c>
      <c r="K43" s="15" t="s">
        <v>48</v>
      </c>
      <c r="L43" s="11" t="str">
        <f>"000108"</f>
        <v>000108</v>
      </c>
      <c r="M43" s="10">
        <v>43076</v>
      </c>
      <c r="N43" s="11" t="str">
        <f>"000036"</f>
        <v>000036</v>
      </c>
      <c r="O43" s="10">
        <v>43130</v>
      </c>
      <c r="P43" s="11" t="str">
        <f>"000095"</f>
        <v>000095</v>
      </c>
      <c r="Q43" s="10">
        <v>43136</v>
      </c>
      <c r="R43" s="11">
        <v>18</v>
      </c>
      <c r="S43" s="11" t="str">
        <f>"007154"</f>
        <v>007154</v>
      </c>
      <c r="T43" s="10">
        <v>43403</v>
      </c>
      <c r="U43" s="14">
        <v>39.427259999999997</v>
      </c>
      <c r="V43" s="14">
        <v>3.1936100000000001</v>
      </c>
      <c r="W43" s="14">
        <v>36.233649999999997</v>
      </c>
      <c r="X43" s="11">
        <v>261</v>
      </c>
      <c r="Y43" s="10">
        <v>43418</v>
      </c>
      <c r="Z43" s="11">
        <v>9972045970</v>
      </c>
      <c r="AA43" s="12" t="s">
        <v>49</v>
      </c>
      <c r="AB43" s="11" t="s">
        <v>157</v>
      </c>
      <c r="AC43" s="12" t="s">
        <v>158</v>
      </c>
      <c r="AD43" s="11" t="s">
        <v>43</v>
      </c>
      <c r="AE43" s="12" t="s">
        <v>44</v>
      </c>
      <c r="AF43" s="14">
        <f t="shared" si="0"/>
        <v>0.39427259999999997</v>
      </c>
      <c r="AG43" s="11" t="s">
        <v>45</v>
      </c>
    </row>
    <row r="44" spans="1:33" x14ac:dyDescent="0.2">
      <c r="A44" s="8">
        <v>8094</v>
      </c>
      <c r="B44" s="9" t="s">
        <v>184</v>
      </c>
      <c r="C44" s="10">
        <v>43462</v>
      </c>
      <c r="D44" s="11">
        <v>12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70</v>
      </c>
      <c r="J44" s="12" t="s">
        <v>71</v>
      </c>
      <c r="K44" s="13" t="s">
        <v>48</v>
      </c>
      <c r="L44" s="11" t="str">
        <f>"000001"</f>
        <v>000001</v>
      </c>
      <c r="M44" s="10">
        <v>43191</v>
      </c>
      <c r="N44" s="11" t="str">
        <f>"000035"</f>
        <v>000035</v>
      </c>
      <c r="O44" s="10">
        <v>43119</v>
      </c>
      <c r="P44" s="11" t="str">
        <f>"000094"</f>
        <v>000094</v>
      </c>
      <c r="Q44" s="10">
        <v>43134</v>
      </c>
      <c r="R44" s="11">
        <v>17</v>
      </c>
      <c r="S44" s="11" t="str">
        <f>"008169"</f>
        <v>008169</v>
      </c>
      <c r="T44" s="10">
        <v>43455</v>
      </c>
      <c r="U44" s="14">
        <v>12.733610000000001</v>
      </c>
      <c r="V44" s="14">
        <v>0.26740999999999998</v>
      </c>
      <c r="W44" s="14">
        <v>12.466200000000001</v>
      </c>
      <c r="X44" s="11">
        <v>306</v>
      </c>
      <c r="Y44" s="10">
        <v>43462</v>
      </c>
      <c r="Z44" s="11">
        <v>9889219009</v>
      </c>
      <c r="AA44" s="12" t="s">
        <v>185</v>
      </c>
      <c r="AB44" s="11" t="s">
        <v>41</v>
      </c>
      <c r="AC44" s="12" t="s">
        <v>42</v>
      </c>
      <c r="AD44" s="11" t="s">
        <v>43</v>
      </c>
      <c r="AE44" s="12" t="s">
        <v>44</v>
      </c>
      <c r="AF44" s="14">
        <f t="shared" si="0"/>
        <v>0.12733610000000001</v>
      </c>
      <c r="AG44" s="11" t="s">
        <v>79</v>
      </c>
    </row>
    <row r="45" spans="1:33" x14ac:dyDescent="0.2">
      <c r="A45" s="8">
        <v>8174</v>
      </c>
      <c r="B45" s="9" t="s">
        <v>186</v>
      </c>
      <c r="C45" s="10">
        <v>43466</v>
      </c>
      <c r="D45" s="11">
        <v>12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187</v>
      </c>
      <c r="J45" s="12" t="s">
        <v>188</v>
      </c>
      <c r="K45" s="13" t="s">
        <v>39</v>
      </c>
      <c r="L45" s="11" t="str">
        <f>"000351"</f>
        <v>000351</v>
      </c>
      <c r="M45" s="10">
        <v>43185</v>
      </c>
      <c r="N45" s="11" t="str">
        <f>"000057"</f>
        <v>000057</v>
      </c>
      <c r="O45" s="10">
        <v>43393</v>
      </c>
      <c r="P45" s="11" t="str">
        <f>"000222"</f>
        <v>000222</v>
      </c>
      <c r="Q45" s="10">
        <v>43399</v>
      </c>
      <c r="R45" s="11"/>
      <c r="S45" s="11" t="str">
        <f>"008322"</f>
        <v>008322</v>
      </c>
      <c r="T45" s="10">
        <v>43462</v>
      </c>
      <c r="U45" s="14">
        <v>49.511989999999997</v>
      </c>
      <c r="V45" s="14">
        <v>5.4156500000000003</v>
      </c>
      <c r="W45" s="14">
        <v>44.096339999999998</v>
      </c>
      <c r="X45" s="11">
        <v>308</v>
      </c>
      <c r="Y45" s="10">
        <v>43466</v>
      </c>
      <c r="Z45" s="11">
        <v>9449219009</v>
      </c>
      <c r="AA45" s="12" t="s">
        <v>49</v>
      </c>
      <c r="AB45" s="11" t="s">
        <v>175</v>
      </c>
      <c r="AC45" s="12" t="s">
        <v>176</v>
      </c>
      <c r="AD45" s="11" t="s">
        <v>43</v>
      </c>
      <c r="AE45" s="12" t="s">
        <v>44</v>
      </c>
      <c r="AF45" s="14">
        <f t="shared" si="0"/>
        <v>0.49511989999999995</v>
      </c>
      <c r="AG45" s="11" t="s">
        <v>79</v>
      </c>
    </row>
    <row r="46" spans="1:33" x14ac:dyDescent="0.2">
      <c r="A46" s="8">
        <v>8175</v>
      </c>
      <c r="B46" s="9" t="s">
        <v>186</v>
      </c>
      <c r="C46" s="10">
        <v>43466</v>
      </c>
      <c r="D46" s="11">
        <v>12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189</v>
      </c>
      <c r="J46" s="12" t="s">
        <v>190</v>
      </c>
      <c r="K46" s="13" t="s">
        <v>103</v>
      </c>
      <c r="L46" s="11" t="str">
        <f>"000353"</f>
        <v>000353</v>
      </c>
      <c r="M46" s="10">
        <v>43185</v>
      </c>
      <c r="N46" s="11" t="str">
        <f>"000061"</f>
        <v>000061</v>
      </c>
      <c r="O46" s="10">
        <v>43406</v>
      </c>
      <c r="P46" s="11" t="str">
        <f>"000239"</f>
        <v>000239</v>
      </c>
      <c r="Q46" s="10">
        <v>43433</v>
      </c>
      <c r="R46" s="11"/>
      <c r="S46" s="11" t="str">
        <f>"008563"</f>
        <v>008563</v>
      </c>
      <c r="T46" s="10">
        <v>43470</v>
      </c>
      <c r="U46" s="14">
        <v>31.351649999999999</v>
      </c>
      <c r="V46" s="14">
        <v>3.4566300000000001</v>
      </c>
      <c r="W46" s="14">
        <v>27.895019999999999</v>
      </c>
      <c r="X46" s="11">
        <v>308</v>
      </c>
      <c r="Y46" s="10">
        <v>43466</v>
      </c>
      <c r="Z46" s="11">
        <v>9449219009</v>
      </c>
      <c r="AA46" s="12" t="s">
        <v>49</v>
      </c>
      <c r="AB46" s="11" t="s">
        <v>175</v>
      </c>
      <c r="AC46" s="12" t="s">
        <v>176</v>
      </c>
      <c r="AD46" s="11" t="s">
        <v>43</v>
      </c>
      <c r="AE46" s="12" t="s">
        <v>44</v>
      </c>
      <c r="AF46" s="14">
        <f t="shared" si="0"/>
        <v>0.31351649999999998</v>
      </c>
      <c r="AG46" s="11" t="s">
        <v>79</v>
      </c>
    </row>
    <row r="47" spans="1:33" x14ac:dyDescent="0.2">
      <c r="A47" s="8">
        <v>8457</v>
      </c>
      <c r="B47" s="9" t="s">
        <v>186</v>
      </c>
      <c r="C47" s="10">
        <v>43472</v>
      </c>
      <c r="D47" s="11">
        <v>12</v>
      </c>
      <c r="E47" s="12" t="s">
        <v>34</v>
      </c>
      <c r="F47" s="12" t="s">
        <v>35</v>
      </c>
      <c r="G47" s="12" t="s">
        <v>36</v>
      </c>
      <c r="H47" s="12" t="s">
        <v>36</v>
      </c>
      <c r="I47" s="11" t="s">
        <v>189</v>
      </c>
      <c r="J47" s="12" t="s">
        <v>190</v>
      </c>
      <c r="K47" s="13" t="s">
        <v>103</v>
      </c>
      <c r="L47" s="11" t="str">
        <f>"000353"</f>
        <v>000353</v>
      </c>
      <c r="M47" s="10">
        <v>43185</v>
      </c>
      <c r="N47" s="11" t="str">
        <f>"000061"</f>
        <v>000061</v>
      </c>
      <c r="O47" s="10">
        <v>43406</v>
      </c>
      <c r="P47" s="11" t="str">
        <f>"000239"</f>
        <v>000239</v>
      </c>
      <c r="Q47" s="10">
        <v>43433</v>
      </c>
      <c r="R47" s="11"/>
      <c r="S47" s="11" t="str">
        <f>"008563"</f>
        <v>008563</v>
      </c>
      <c r="T47" s="10">
        <v>43470</v>
      </c>
      <c r="U47" s="14">
        <v>18.168880000000001</v>
      </c>
      <c r="V47" s="14">
        <v>1.9739500000000001</v>
      </c>
      <c r="W47" s="14">
        <v>16.194929999999999</v>
      </c>
      <c r="X47" s="11">
        <v>317</v>
      </c>
      <c r="Y47" s="10">
        <v>43472</v>
      </c>
      <c r="Z47" s="11">
        <v>9449219009</v>
      </c>
      <c r="AA47" s="12" t="s">
        <v>49</v>
      </c>
      <c r="AB47" s="11" t="s">
        <v>175</v>
      </c>
      <c r="AC47" s="12" t="s">
        <v>176</v>
      </c>
      <c r="AD47" s="11" t="s">
        <v>43</v>
      </c>
      <c r="AE47" s="12" t="s">
        <v>44</v>
      </c>
      <c r="AF47" s="14">
        <f t="shared" si="0"/>
        <v>0.18168880000000001</v>
      </c>
      <c r="AG47" s="11" t="s">
        <v>79</v>
      </c>
    </row>
    <row r="48" spans="1:33" x14ac:dyDescent="0.2">
      <c r="A48" s="8">
        <v>8619</v>
      </c>
      <c r="B48" s="9" t="s">
        <v>186</v>
      </c>
      <c r="C48" s="10">
        <v>43481</v>
      </c>
      <c r="D48" s="11">
        <v>12</v>
      </c>
      <c r="E48" s="12" t="s">
        <v>34</v>
      </c>
      <c r="F48" s="12" t="s">
        <v>35</v>
      </c>
      <c r="G48" s="12" t="s">
        <v>36</v>
      </c>
      <c r="H48" s="12" t="s">
        <v>36</v>
      </c>
      <c r="I48" s="11" t="s">
        <v>92</v>
      </c>
      <c r="J48" s="12" t="s">
        <v>93</v>
      </c>
      <c r="K48" s="13" t="s">
        <v>39</v>
      </c>
      <c r="L48" s="11" t="str">
        <f>"000174"</f>
        <v>000174</v>
      </c>
      <c r="M48" s="10">
        <v>42826</v>
      </c>
      <c r="N48" s="11" t="str">
        <f>"000046"</f>
        <v>000046</v>
      </c>
      <c r="O48" s="10">
        <v>43339</v>
      </c>
      <c r="P48" s="11" t="str">
        <f>"000186"</f>
        <v>000186</v>
      </c>
      <c r="Q48" s="10">
        <v>43349</v>
      </c>
      <c r="R48" s="11"/>
      <c r="S48" s="11" t="str">
        <f>"008462"</f>
        <v>008462</v>
      </c>
      <c r="T48" s="10">
        <v>43467</v>
      </c>
      <c r="U48" s="14">
        <v>19.835540000000002</v>
      </c>
      <c r="V48" s="14">
        <v>0.58291000000000004</v>
      </c>
      <c r="W48" s="14">
        <v>19.25263</v>
      </c>
      <c r="X48" s="11">
        <v>325</v>
      </c>
      <c r="Y48" s="10">
        <v>43481</v>
      </c>
      <c r="Z48" s="11">
        <v>9972045970</v>
      </c>
      <c r="AA48" s="12" t="s">
        <v>94</v>
      </c>
      <c r="AB48" s="11" t="s">
        <v>90</v>
      </c>
      <c r="AC48" s="12" t="s">
        <v>91</v>
      </c>
      <c r="AD48" s="11" t="s">
        <v>43</v>
      </c>
      <c r="AE48" s="12" t="s">
        <v>44</v>
      </c>
      <c r="AF48" s="14">
        <f t="shared" si="0"/>
        <v>0.19835540000000002</v>
      </c>
      <c r="AG48" s="11" t="s">
        <v>79</v>
      </c>
    </row>
    <row r="49" spans="1:33" x14ac:dyDescent="0.2">
      <c r="A49" s="8">
        <v>8620</v>
      </c>
      <c r="B49" s="9" t="s">
        <v>186</v>
      </c>
      <c r="C49" s="10">
        <v>43481</v>
      </c>
      <c r="D49" s="11">
        <v>12</v>
      </c>
      <c r="E49" s="12" t="s">
        <v>34</v>
      </c>
      <c r="F49" s="12" t="s">
        <v>35</v>
      </c>
      <c r="G49" s="12" t="s">
        <v>36</v>
      </c>
      <c r="H49" s="12" t="s">
        <v>36</v>
      </c>
      <c r="I49" s="11" t="s">
        <v>98</v>
      </c>
      <c r="J49" s="12" t="s">
        <v>99</v>
      </c>
      <c r="K49" s="13" t="s">
        <v>39</v>
      </c>
      <c r="L49" s="11" t="str">
        <f>"000317"</f>
        <v>000317</v>
      </c>
      <c r="M49" s="10">
        <v>43180</v>
      </c>
      <c r="N49" s="11" t="str">
        <f>"000048"</f>
        <v>000048</v>
      </c>
      <c r="O49" s="10">
        <v>43346</v>
      </c>
      <c r="P49" s="11" t="str">
        <f>"000194"</f>
        <v>000194</v>
      </c>
      <c r="Q49" s="10">
        <v>43361</v>
      </c>
      <c r="R49" s="11"/>
      <c r="S49" s="11" t="str">
        <f>"008463"</f>
        <v>008463</v>
      </c>
      <c r="T49" s="10">
        <v>43467</v>
      </c>
      <c r="U49" s="14">
        <v>18.580410000000001</v>
      </c>
      <c r="V49" s="14">
        <v>0.55423</v>
      </c>
      <c r="W49" s="14">
        <v>18.02618</v>
      </c>
      <c r="X49" s="11">
        <v>325</v>
      </c>
      <c r="Y49" s="10">
        <v>43481</v>
      </c>
      <c r="Z49" s="11">
        <v>9448002933</v>
      </c>
      <c r="AA49" s="12" t="s">
        <v>100</v>
      </c>
      <c r="AB49" s="11" t="s">
        <v>90</v>
      </c>
      <c r="AC49" s="12" t="s">
        <v>91</v>
      </c>
      <c r="AD49" s="11" t="s">
        <v>43</v>
      </c>
      <c r="AE49" s="12" t="s">
        <v>44</v>
      </c>
      <c r="AF49" s="14">
        <f t="shared" si="0"/>
        <v>0.1858041</v>
      </c>
      <c r="AG49" s="11" t="s">
        <v>79</v>
      </c>
    </row>
    <row r="50" spans="1:33" x14ac:dyDescent="0.2">
      <c r="A50" s="8">
        <v>8621</v>
      </c>
      <c r="B50" s="9" t="s">
        <v>186</v>
      </c>
      <c r="C50" s="10">
        <v>43481</v>
      </c>
      <c r="D50" s="11">
        <v>12</v>
      </c>
      <c r="E50" s="12" t="s">
        <v>34</v>
      </c>
      <c r="F50" s="12" t="s">
        <v>35</v>
      </c>
      <c r="G50" s="12" t="s">
        <v>36</v>
      </c>
      <c r="H50" s="12" t="s">
        <v>36</v>
      </c>
      <c r="I50" s="11" t="s">
        <v>95</v>
      </c>
      <c r="J50" s="12" t="s">
        <v>96</v>
      </c>
      <c r="K50" s="13" t="s">
        <v>39</v>
      </c>
      <c r="L50" s="11" t="str">
        <f>"000318"</f>
        <v>000318</v>
      </c>
      <c r="M50" s="10">
        <v>43180</v>
      </c>
      <c r="N50" s="11" t="str">
        <f>"000047"</f>
        <v>000047</v>
      </c>
      <c r="O50" s="10">
        <v>43346</v>
      </c>
      <c r="P50" s="11" t="str">
        <f>"000195"</f>
        <v>000195</v>
      </c>
      <c r="Q50" s="10">
        <v>43361</v>
      </c>
      <c r="R50" s="11"/>
      <c r="S50" s="11" t="str">
        <f>"008464"</f>
        <v>008464</v>
      </c>
      <c r="T50" s="10">
        <v>43467</v>
      </c>
      <c r="U50" s="14">
        <v>15.06955</v>
      </c>
      <c r="V50" s="14">
        <v>0.44806000000000001</v>
      </c>
      <c r="W50" s="14">
        <v>14.62149</v>
      </c>
      <c r="X50" s="11">
        <v>325</v>
      </c>
      <c r="Y50" s="10">
        <v>43481</v>
      </c>
      <c r="Z50" s="11">
        <v>9448002933</v>
      </c>
      <c r="AA50" s="12" t="s">
        <v>97</v>
      </c>
      <c r="AB50" s="11" t="s">
        <v>90</v>
      </c>
      <c r="AC50" s="12" t="s">
        <v>91</v>
      </c>
      <c r="AD50" s="11" t="s">
        <v>43</v>
      </c>
      <c r="AE50" s="12" t="s">
        <v>44</v>
      </c>
      <c r="AF50" s="14">
        <f t="shared" si="0"/>
        <v>0.15069549999999998</v>
      </c>
      <c r="AG50" s="11" t="s">
        <v>79</v>
      </c>
    </row>
    <row r="51" spans="1:33" x14ac:dyDescent="0.2">
      <c r="A51" s="8">
        <v>8664</v>
      </c>
      <c r="B51" s="9" t="s">
        <v>186</v>
      </c>
      <c r="C51" s="10">
        <v>43484</v>
      </c>
      <c r="D51" s="11">
        <v>12</v>
      </c>
      <c r="E51" s="12" t="s">
        <v>34</v>
      </c>
      <c r="F51" s="12" t="s">
        <v>35</v>
      </c>
      <c r="G51" s="12" t="s">
        <v>36</v>
      </c>
      <c r="H51" s="12" t="s">
        <v>36</v>
      </c>
      <c r="I51" s="11" t="s">
        <v>191</v>
      </c>
      <c r="J51" s="12" t="s">
        <v>192</v>
      </c>
      <c r="K51" s="13" t="s">
        <v>39</v>
      </c>
      <c r="L51" s="11" t="str">
        <f>"000356"</f>
        <v>000356</v>
      </c>
      <c r="M51" s="10">
        <v>43185</v>
      </c>
      <c r="N51" s="11" t="str">
        <f>"000069"</f>
        <v>000069</v>
      </c>
      <c r="O51" s="10">
        <v>43451</v>
      </c>
      <c r="P51" s="11" t="str">
        <f>"000248"</f>
        <v>000248</v>
      </c>
      <c r="Q51" s="10">
        <v>43452</v>
      </c>
      <c r="R51" s="11"/>
      <c r="S51" s="11" t="str">
        <f>"008803"</f>
        <v>008803</v>
      </c>
      <c r="T51" s="10">
        <v>43483</v>
      </c>
      <c r="U51" s="14">
        <v>49.514119999999998</v>
      </c>
      <c r="V51" s="14">
        <v>5.2907400000000004</v>
      </c>
      <c r="W51" s="14">
        <v>44.223379999999999</v>
      </c>
      <c r="X51" s="11">
        <v>329</v>
      </c>
      <c r="Y51" s="10">
        <v>43484</v>
      </c>
      <c r="Z51" s="11">
        <v>9449219009</v>
      </c>
      <c r="AA51" s="12" t="s">
        <v>49</v>
      </c>
      <c r="AB51" s="11" t="s">
        <v>175</v>
      </c>
      <c r="AC51" s="12" t="s">
        <v>176</v>
      </c>
      <c r="AD51" s="11" t="s">
        <v>43</v>
      </c>
      <c r="AE51" s="12" t="s">
        <v>44</v>
      </c>
      <c r="AF51" s="14">
        <f t="shared" si="0"/>
        <v>0.4951412</v>
      </c>
      <c r="AG51" s="11" t="s">
        <v>79</v>
      </c>
    </row>
    <row r="52" spans="1:33" x14ac:dyDescent="0.2">
      <c r="A52" s="8">
        <v>8665</v>
      </c>
      <c r="B52" s="9" t="s">
        <v>186</v>
      </c>
      <c r="C52" s="10">
        <v>43484</v>
      </c>
      <c r="D52" s="11">
        <v>12</v>
      </c>
      <c r="E52" s="12" t="s">
        <v>34</v>
      </c>
      <c r="F52" s="12" t="s">
        <v>35</v>
      </c>
      <c r="G52" s="12" t="s">
        <v>36</v>
      </c>
      <c r="H52" s="12" t="s">
        <v>36</v>
      </c>
      <c r="I52" s="11" t="s">
        <v>193</v>
      </c>
      <c r="J52" s="12" t="s">
        <v>194</v>
      </c>
      <c r="K52" s="13" t="s">
        <v>39</v>
      </c>
      <c r="L52" s="11" t="str">
        <f>"000350"</f>
        <v>000350</v>
      </c>
      <c r="M52" s="10">
        <v>43185</v>
      </c>
      <c r="N52" s="11" t="str">
        <f>"000067"</f>
        <v>000067</v>
      </c>
      <c r="O52" s="10">
        <v>43451</v>
      </c>
      <c r="P52" s="11" t="str">
        <f>"000247"</f>
        <v>000247</v>
      </c>
      <c r="Q52" s="10">
        <v>43452</v>
      </c>
      <c r="R52" s="11"/>
      <c r="S52" s="11" t="str">
        <f>"008804"</f>
        <v>008804</v>
      </c>
      <c r="T52" s="10">
        <v>43483</v>
      </c>
      <c r="U52" s="14">
        <v>49.489289999999997</v>
      </c>
      <c r="V52" s="14">
        <v>5.2837899999999998</v>
      </c>
      <c r="W52" s="14">
        <v>44.205500000000001</v>
      </c>
      <c r="X52" s="11">
        <v>329</v>
      </c>
      <c r="Y52" s="10">
        <v>43484</v>
      </c>
      <c r="Z52" s="11">
        <v>9449219009</v>
      </c>
      <c r="AA52" s="12" t="s">
        <v>49</v>
      </c>
      <c r="AB52" s="11" t="s">
        <v>175</v>
      </c>
      <c r="AC52" s="12" t="s">
        <v>176</v>
      </c>
      <c r="AD52" s="11" t="s">
        <v>43</v>
      </c>
      <c r="AE52" s="12" t="s">
        <v>44</v>
      </c>
      <c r="AF52" s="14">
        <f t="shared" si="0"/>
        <v>0.49489289999999997</v>
      </c>
      <c r="AG52" s="11" t="s">
        <v>79</v>
      </c>
    </row>
    <row r="53" spans="1:33" x14ac:dyDescent="0.2">
      <c r="A53" s="8">
        <v>8821</v>
      </c>
      <c r="B53" s="9" t="s">
        <v>186</v>
      </c>
      <c r="C53" s="10">
        <v>43494</v>
      </c>
      <c r="D53" s="11">
        <v>12</v>
      </c>
      <c r="E53" s="12" t="s">
        <v>34</v>
      </c>
      <c r="F53" s="12" t="s">
        <v>35</v>
      </c>
      <c r="G53" s="12" t="s">
        <v>36</v>
      </c>
      <c r="H53" s="12" t="s">
        <v>36</v>
      </c>
      <c r="I53" s="11" t="s">
        <v>195</v>
      </c>
      <c r="J53" s="12" t="s">
        <v>196</v>
      </c>
      <c r="K53" s="13" t="s">
        <v>103</v>
      </c>
      <c r="L53" s="11" t="str">
        <f>"000355"</f>
        <v>000355</v>
      </c>
      <c r="M53" s="10">
        <v>43185</v>
      </c>
      <c r="N53" s="11" t="str">
        <f>"000068"</f>
        <v>000068</v>
      </c>
      <c r="O53" s="10">
        <v>43451</v>
      </c>
      <c r="P53" s="11" t="str">
        <f>"000249"</f>
        <v>000249</v>
      </c>
      <c r="Q53" s="10">
        <v>43452</v>
      </c>
      <c r="R53" s="11"/>
      <c r="S53" s="11" t="str">
        <f>"008996"</f>
        <v>008996</v>
      </c>
      <c r="T53" s="10">
        <v>43490</v>
      </c>
      <c r="U53" s="14">
        <v>49.507710000000003</v>
      </c>
      <c r="V53" s="14">
        <v>5.29739</v>
      </c>
      <c r="W53" s="14">
        <v>44.210320000000003</v>
      </c>
      <c r="X53" s="11">
        <v>335</v>
      </c>
      <c r="Y53" s="10">
        <v>43494</v>
      </c>
      <c r="Z53" s="11">
        <v>9449219009</v>
      </c>
      <c r="AA53" s="12" t="s">
        <v>49</v>
      </c>
      <c r="AB53" s="11" t="s">
        <v>175</v>
      </c>
      <c r="AC53" s="12" t="s">
        <v>176</v>
      </c>
      <c r="AD53" s="11" t="s">
        <v>43</v>
      </c>
      <c r="AE53" s="12" t="s">
        <v>44</v>
      </c>
      <c r="AF53" s="14">
        <f t="shared" si="0"/>
        <v>0.49507710000000005</v>
      </c>
      <c r="AG53" s="11" t="s">
        <v>79</v>
      </c>
    </row>
    <row r="54" spans="1:33" x14ac:dyDescent="0.2">
      <c r="A54" s="8">
        <v>9253</v>
      </c>
      <c r="B54" s="9" t="s">
        <v>197</v>
      </c>
      <c r="C54" s="10">
        <v>43521</v>
      </c>
      <c r="D54" s="11">
        <v>12</v>
      </c>
      <c r="E54" s="12" t="s">
        <v>34</v>
      </c>
      <c r="F54" s="12" t="s">
        <v>35</v>
      </c>
      <c r="G54" s="12" t="s">
        <v>36</v>
      </c>
      <c r="H54" s="12" t="s">
        <v>36</v>
      </c>
      <c r="I54" s="11" t="s">
        <v>198</v>
      </c>
      <c r="J54" s="12" t="s">
        <v>199</v>
      </c>
      <c r="K54" s="13" t="s">
        <v>132</v>
      </c>
      <c r="L54" s="11" t="str">
        <f>"000065"</f>
        <v>000065</v>
      </c>
      <c r="M54" s="10">
        <v>41353</v>
      </c>
      <c r="N54" s="11" t="str">
        <f>"000001"</f>
        <v>000001</v>
      </c>
      <c r="O54" s="10">
        <v>41364</v>
      </c>
      <c r="P54" s="11" t="str">
        <f>"000001"</f>
        <v>000001</v>
      </c>
      <c r="Q54" s="10">
        <v>42994</v>
      </c>
      <c r="R54" s="11"/>
      <c r="S54" s="11" t="str">
        <f>"009276"</f>
        <v>009276</v>
      </c>
      <c r="T54" s="10">
        <v>43515</v>
      </c>
      <c r="U54" s="14">
        <v>9.8941400000000002</v>
      </c>
      <c r="V54" s="14">
        <v>0.93035000000000001</v>
      </c>
      <c r="W54" s="14">
        <v>8.9637899999999995</v>
      </c>
      <c r="X54" s="11">
        <v>358</v>
      </c>
      <c r="Y54" s="10">
        <v>43521</v>
      </c>
      <c r="Z54" s="11">
        <v>9731234561</v>
      </c>
      <c r="AA54" s="12" t="s">
        <v>49</v>
      </c>
      <c r="AB54" s="11" t="s">
        <v>200</v>
      </c>
      <c r="AC54" s="12" t="s">
        <v>201</v>
      </c>
      <c r="AD54" s="11" t="s">
        <v>52</v>
      </c>
      <c r="AE54" s="12" t="s">
        <v>53</v>
      </c>
      <c r="AF54" s="14">
        <f t="shared" si="0"/>
        <v>9.8941399999999999E-2</v>
      </c>
      <c r="AG54" s="11" t="s">
        <v>45</v>
      </c>
    </row>
    <row r="55" spans="1:33" x14ac:dyDescent="0.2">
      <c r="A55" s="8">
        <v>9256</v>
      </c>
      <c r="B55" s="9" t="s">
        <v>197</v>
      </c>
      <c r="C55" s="10">
        <v>43521</v>
      </c>
      <c r="D55" s="11">
        <v>12</v>
      </c>
      <c r="E55" s="12" t="s">
        <v>34</v>
      </c>
      <c r="F55" s="12" t="s">
        <v>35</v>
      </c>
      <c r="G55" s="12" t="s">
        <v>36</v>
      </c>
      <c r="H55" s="12" t="s">
        <v>36</v>
      </c>
      <c r="I55" s="11" t="s">
        <v>202</v>
      </c>
      <c r="J55" s="12" t="s">
        <v>203</v>
      </c>
      <c r="K55" s="13" t="s">
        <v>48</v>
      </c>
      <c r="L55" s="11" t="str">
        <f>"000094"</f>
        <v>000094</v>
      </c>
      <c r="M55" s="10">
        <v>42891</v>
      </c>
      <c r="N55" s="11" t="str">
        <f>"000055"</f>
        <v>000055</v>
      </c>
      <c r="O55" s="10">
        <v>43382</v>
      </c>
      <c r="P55" s="11" t="str">
        <f>"000226"</f>
        <v>000226</v>
      </c>
      <c r="Q55" s="10">
        <v>43400</v>
      </c>
      <c r="R55" s="11"/>
      <c r="S55" s="11" t="str">
        <f>""</f>
        <v/>
      </c>
      <c r="T55" s="10"/>
      <c r="U55" s="14">
        <v>20.081700000000001</v>
      </c>
      <c r="V55" s="14">
        <v>0.53090999999999999</v>
      </c>
      <c r="W55" s="14">
        <v>19.550789999999999</v>
      </c>
      <c r="X55" s="11">
        <v>358</v>
      </c>
      <c r="Y55" s="10">
        <v>43521</v>
      </c>
      <c r="Z55" s="11">
        <v>9448203712</v>
      </c>
      <c r="AA55" s="12" t="s">
        <v>204</v>
      </c>
      <c r="AB55" s="11" t="s">
        <v>41</v>
      </c>
      <c r="AC55" s="12" t="s">
        <v>42</v>
      </c>
      <c r="AD55" s="11" t="s">
        <v>43</v>
      </c>
      <c r="AE55" s="12" t="s">
        <v>44</v>
      </c>
      <c r="AF55" s="14">
        <f t="shared" si="0"/>
        <v>0.20081700000000002</v>
      </c>
      <c r="AG55" s="11" t="s">
        <v>79</v>
      </c>
    </row>
    <row r="56" spans="1:33" x14ac:dyDescent="0.2">
      <c r="A56" s="8">
        <v>9917</v>
      </c>
      <c r="B56" s="9" t="s">
        <v>205</v>
      </c>
      <c r="C56" s="10">
        <v>43552</v>
      </c>
      <c r="D56" s="11">
        <v>12</v>
      </c>
      <c r="E56" s="12" t="s">
        <v>34</v>
      </c>
      <c r="F56" s="12" t="s">
        <v>35</v>
      </c>
      <c r="G56" s="12" t="s">
        <v>36</v>
      </c>
      <c r="H56" s="12" t="s">
        <v>36</v>
      </c>
      <c r="I56" s="11" t="s">
        <v>206</v>
      </c>
      <c r="J56" s="12" t="s">
        <v>207</v>
      </c>
      <c r="K56" s="13" t="s">
        <v>75</v>
      </c>
      <c r="L56" s="11" t="str">
        <f>"000063"</f>
        <v>000063</v>
      </c>
      <c r="M56" s="10">
        <v>42859</v>
      </c>
      <c r="N56" s="11" t="str">
        <f>"000059"</f>
        <v>000059</v>
      </c>
      <c r="O56" s="10">
        <v>42916</v>
      </c>
      <c r="P56" s="11" t="str">
        <f>"000158"</f>
        <v>000158</v>
      </c>
      <c r="Q56" s="10">
        <v>42916</v>
      </c>
      <c r="R56" s="11"/>
      <c r="S56" s="11" t="str">
        <f>"009923"</f>
        <v>009923</v>
      </c>
      <c r="T56" s="10">
        <v>43549</v>
      </c>
      <c r="U56" s="14">
        <v>45.976520000000001</v>
      </c>
      <c r="V56" s="14">
        <v>3.2736999999999998</v>
      </c>
      <c r="W56" s="14">
        <v>42.702820000000003</v>
      </c>
      <c r="X56" s="11">
        <v>388</v>
      </c>
      <c r="Y56" s="10">
        <v>43552</v>
      </c>
      <c r="Z56" s="11">
        <v>9036033962</v>
      </c>
      <c r="AA56" s="12" t="s">
        <v>208</v>
      </c>
      <c r="AB56" s="11" t="s">
        <v>41</v>
      </c>
      <c r="AC56" s="12" t="s">
        <v>42</v>
      </c>
      <c r="AD56" s="11" t="s">
        <v>43</v>
      </c>
      <c r="AE56" s="12" t="s">
        <v>44</v>
      </c>
      <c r="AF56" s="14">
        <f t="shared" si="0"/>
        <v>0.45976519999999999</v>
      </c>
      <c r="AG56" s="11" t="s">
        <v>45</v>
      </c>
    </row>
    <row r="57" spans="1:33" x14ac:dyDescent="0.2">
      <c r="A57" s="8">
        <v>9918</v>
      </c>
      <c r="B57" s="9" t="s">
        <v>205</v>
      </c>
      <c r="C57" s="10">
        <v>43552</v>
      </c>
      <c r="D57" s="11">
        <v>12</v>
      </c>
      <c r="E57" s="12" t="s">
        <v>34</v>
      </c>
      <c r="F57" s="12" t="s">
        <v>35</v>
      </c>
      <c r="G57" s="12" t="s">
        <v>36</v>
      </c>
      <c r="H57" s="12" t="s">
        <v>36</v>
      </c>
      <c r="I57" s="11" t="s">
        <v>209</v>
      </c>
      <c r="J57" s="12" t="s">
        <v>210</v>
      </c>
      <c r="K57" s="13" t="s">
        <v>75</v>
      </c>
      <c r="L57" s="11" t="str">
        <f>"000064"</f>
        <v>000064</v>
      </c>
      <c r="M57" s="10">
        <v>42859</v>
      </c>
      <c r="N57" s="11" t="str">
        <f>"0O0038"</f>
        <v>0O0038</v>
      </c>
      <c r="O57" s="10">
        <v>42916</v>
      </c>
      <c r="P57" s="11" t="str">
        <f>"000159"</f>
        <v>000159</v>
      </c>
      <c r="Q57" s="10">
        <v>42916</v>
      </c>
      <c r="R57" s="11"/>
      <c r="S57" s="11" t="str">
        <f>"009924"</f>
        <v>009924</v>
      </c>
      <c r="T57" s="10">
        <v>43549</v>
      </c>
      <c r="U57" s="14">
        <v>36.345700000000001</v>
      </c>
      <c r="V57" s="14">
        <v>2.6065800000000001</v>
      </c>
      <c r="W57" s="14">
        <v>33.73912</v>
      </c>
      <c r="X57" s="11">
        <v>388</v>
      </c>
      <c r="Y57" s="10">
        <v>43552</v>
      </c>
      <c r="Z57" s="11">
        <v>9036033962</v>
      </c>
      <c r="AA57" s="12" t="s">
        <v>208</v>
      </c>
      <c r="AB57" s="11" t="s">
        <v>41</v>
      </c>
      <c r="AC57" s="12" t="s">
        <v>42</v>
      </c>
      <c r="AD57" s="11" t="s">
        <v>43</v>
      </c>
      <c r="AE57" s="12" t="s">
        <v>44</v>
      </c>
      <c r="AF57" s="14">
        <f t="shared" si="0"/>
        <v>0.36345700000000003</v>
      </c>
      <c r="AG57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2019-06-12T10:58:23Z</dcterms:modified>
</cp:coreProperties>
</file>