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3" i="1" l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<sst xmlns="http://schemas.openxmlformats.org/spreadsheetml/2006/main" count="621" uniqueCount="174">
  <si>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</si>
  <si>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</si>
  <si>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</si>
  <si>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</si>
  <si>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</si>
  <si>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</si>
  <si>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</si>
  <si>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</si>
  <si>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</si>
  <si>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</si>
  <si>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</si>
  <si>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</si>
  <si>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</si>
  <si>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</si>
  <si>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</si>
  <si>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</si>
  <si>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</si>
  <si>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</si>
  <si>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</si>
  <si>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</si>
  <si>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</si>
  <si>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</si>
  <si>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</si>
  <si>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</si>
  <si>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</si>
  <si>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</si>
  <si>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</si>
  <si>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</si>
  <si>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</si>
  <si>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</si>
  <si>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</si>
  <si>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</si>
  <si>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</si>
  <si>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</si>
  <si>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Cotton Pete</t>
  </si>
  <si>
    <t>Chikka Pete</t>
  </si>
  <si>
    <t>Gandhi Nagara</t>
  </si>
  <si>
    <t>West</t>
  </si>
  <si>
    <t>120-16-000002</t>
  </si>
  <si>
    <t>Construction of Culverts and Removal of Silt from drain In Cottonpet Main road and Cross Roads In Ward-120</t>
  </si>
  <si>
    <t>Roads &amp; Drivablility</t>
  </si>
  <si>
    <t>Mahesh L</t>
  </si>
  <si>
    <t>P1771</t>
  </si>
  <si>
    <t>Zone Works - POW Works</t>
  </si>
  <si>
    <t>ddo204</t>
  </si>
  <si>
    <t xml:space="preserve"> Assistant Executive Engineer Chickpet West Zone</t>
  </si>
  <si>
    <t>Pending</t>
  </si>
  <si>
    <t>120-16-000016</t>
  </si>
  <si>
    <t>Repairs and Removal of Silt in G B Lane and Surrounding area In Ward-120</t>
  </si>
  <si>
    <t>Other Ward Works</t>
  </si>
  <si>
    <t>120-16-000007</t>
  </si>
  <si>
    <t>Providing Cement Concrete Road In Manvarthi pet and Surrounidng Area In Ward-120</t>
  </si>
  <si>
    <t>M.R.Yogesh Kumar</t>
  </si>
  <si>
    <t>June</t>
  </si>
  <si>
    <t>120-16-000019</t>
  </si>
  <si>
    <t>Supplying of Electric poles and equipments in ward no 120</t>
  </si>
  <si>
    <t>Footpaths &amp; Walkability</t>
  </si>
  <si>
    <t>Sri Gayathri Electricals</t>
  </si>
  <si>
    <t>ddo209</t>
  </si>
  <si>
    <t xml:space="preserve"> Assistant Executive Engineer Electrical West Zone</t>
  </si>
  <si>
    <t>120-16-000008</t>
  </si>
  <si>
    <t>Providing Cement Concrete Road In Nethaji Nagar 4th and 5th Cross In Ward-120</t>
  </si>
  <si>
    <t>B N Naveen Kumar</t>
  </si>
  <si>
    <t>120-16-000009</t>
  </si>
  <si>
    <t>Providing Cement Concrete to Belimutt Road In Ward-120</t>
  </si>
  <si>
    <t>120-16-000004</t>
  </si>
  <si>
    <t>Emergency Grants in ward no 120</t>
  </si>
  <si>
    <t>S T Umesh</t>
  </si>
  <si>
    <t>July</t>
  </si>
  <si>
    <t>120-15-000008</t>
  </si>
  <si>
    <t xml:space="preserve">Providing Concrete and Resetting of Slabs in Sultanpet Main Road in Ward No. 120 </t>
  </si>
  <si>
    <t>120-15-000014</t>
  </si>
  <si>
    <t xml:space="preserve">Providing Concrete to Subbannachari Galli 2nd Cross in Ward No. 120 </t>
  </si>
  <si>
    <t>S H Purushotham</t>
  </si>
  <si>
    <t>120-16-000027</t>
  </si>
  <si>
    <t>Improvements to roads and drainage SC colony in Nagammanagar in ward no-120</t>
  </si>
  <si>
    <t>Technical Manager KRIDL West</t>
  </si>
  <si>
    <t>P1878</t>
  </si>
  <si>
    <t>18per - Works (Bhagyajyothi, Sooru / Neeru Yojane and General) (54 Lakhs / New Wards)</t>
  </si>
  <si>
    <t>Current</t>
  </si>
  <si>
    <t>120-16-000028</t>
  </si>
  <si>
    <t>Improvements to roads and drainage ST colony in Keshavanagar in ward no-120</t>
  </si>
  <si>
    <t>120-17-000003</t>
  </si>
  <si>
    <t>Providing and fixing outdoor Gym equipments to Muniyanna Garden in ward no-120</t>
  </si>
  <si>
    <t>Trees, Parks &amp; Playgrounds</t>
  </si>
  <si>
    <t>Executive Engineer, KRIDL</t>
  </si>
  <si>
    <t>P0311</t>
  </si>
  <si>
    <t>Landscape Development Of Parks/Medians/Boulevants and Circles(Janoodya Works)</t>
  </si>
  <si>
    <t>ddo326</t>
  </si>
  <si>
    <t xml:space="preserve"> Executive Engineer SWM 1 Central Zone</t>
  </si>
  <si>
    <t>September</t>
  </si>
  <si>
    <t>120-16-000018</t>
  </si>
  <si>
    <t>Supply of Tractor and Labours to remove the silt at K P Agrahara and Surrounding area in ward no 120</t>
  </si>
  <si>
    <t xml:space="preserve">Rajesh N R </t>
  </si>
  <si>
    <t>120-17-000009</t>
  </si>
  <si>
    <t>Providing Pipeline in K P Agrahara and Surroundings In WardNo. 120</t>
  </si>
  <si>
    <t>S Chandra Mohan</t>
  </si>
  <si>
    <t>120-17-000010</t>
  </si>
  <si>
    <t>Providing Pipeline in Cottonpet and Surroundings In Ward No.120</t>
  </si>
  <si>
    <t>120-16-000017</t>
  </si>
  <si>
    <t>Supply of Tractor and Labours to remove the silt at Cottonpet Surrounding area in ward no 120</t>
  </si>
  <si>
    <t>October</t>
  </si>
  <si>
    <t>120-18-000005</t>
  </si>
  <si>
    <t>Improvements to drains and providing cement concrete to roads in Netajinagar slum and surrounding area in ward no-120</t>
  </si>
  <si>
    <t>Technical Manager  (West) Karnataka Rural Infrastructure Development Limited</t>
  </si>
  <si>
    <t>120-17-000026</t>
  </si>
  <si>
    <t>Desilting of Drains and Footpath Improvements at Nethajinagar and Surroundings Areas in Ward No. 120</t>
  </si>
  <si>
    <t>Aishwarya Infrastrucure and Developers</t>
  </si>
  <si>
    <t>120-18-000006</t>
  </si>
  <si>
    <t>Improvements to drains and providing cement concrete to roads in Keshavanagar slum and surrounding area in ward no-120</t>
  </si>
  <si>
    <t>120-18-000026</t>
  </si>
  <si>
    <t xml:space="preserve">Providing safety compound wall and other allied Civil Works for Indira Canteen in Ward No 120 </t>
  </si>
  <si>
    <t>Indira Canteen</t>
  </si>
  <si>
    <t>Technical Manager (WEST) KRIDL</t>
  </si>
  <si>
    <t>P3106</t>
  </si>
  <si>
    <t>Nagarothana Works</t>
  </si>
  <si>
    <t>November</t>
  </si>
  <si>
    <t>120-18-000007</t>
  </si>
  <si>
    <t>Improvements to drains and providing cement concrete to roads in Ashwathnagar slum and surrounding area in ward no-120</t>
  </si>
  <si>
    <t>120-18-000004</t>
  </si>
  <si>
    <t>Improvements to drains and providing cement concrete to roads in Nagammanagar slum and surrounding area in ward no-120</t>
  </si>
  <si>
    <t>120-17-000037</t>
  </si>
  <si>
    <t>Construction of Dialysis Centre at Gandhinagar Assembly Constituency</t>
  </si>
  <si>
    <t>D Narahari</t>
  </si>
  <si>
    <t>P3111</t>
  </si>
  <si>
    <t>State Finance Commission Untied Grant Works</t>
  </si>
  <si>
    <t>December</t>
  </si>
  <si>
    <t>120-17-000022</t>
  </si>
  <si>
    <t>Desilting of Drains and Footpath Improvements at Akkipet and Surroundings Areas in Ward No. 120</t>
  </si>
  <si>
    <t>120-18-000001</t>
  </si>
  <si>
    <t>Providing Asphalting and Improvements works in Nagammanagar and surroundings in ward no 120.</t>
  </si>
  <si>
    <t>120-17-000007</t>
  </si>
  <si>
    <t>Cement Concrete at MM Lane and Surrounding Areas in Ward No. 120</t>
  </si>
  <si>
    <t>120-17-000011</t>
  </si>
  <si>
    <t>Providing Cement Concrete at Keshavanagar and Surrounding Areas in Ward No. 120</t>
  </si>
  <si>
    <t>120-17-000012</t>
  </si>
  <si>
    <t>Providing Cement Concrete at Ashwath Nagar and Vinny Colony and Surrounding Areas in Ward No. 120</t>
  </si>
  <si>
    <t>120-17-000013</t>
  </si>
  <si>
    <t>Providing Cement Concrete at GB Lane and Surrounding Areas in Ward No. 120</t>
  </si>
  <si>
    <t>120-17-000023</t>
  </si>
  <si>
    <t>Desilting of Drains and Footpath Improvements at AS Char Street and Surroundings Areas in Ward No. 120</t>
  </si>
  <si>
    <t>120-17-000024</t>
  </si>
  <si>
    <t>Desilting of Drains and Footpath Improvements at Nagammanagar and Surroundings Areas in Ward No. 120</t>
  </si>
  <si>
    <t>120-17-000014</t>
  </si>
  <si>
    <t>Providing Cement Concrete at Nalbandwadi and Surrounding Areas in Ward No. 120</t>
  </si>
  <si>
    <t>120-18-000024</t>
  </si>
  <si>
    <t>Providing Street lights and Maintenance at ward no 120</t>
  </si>
  <si>
    <t>Executive Engineer 1 KRIDL</t>
  </si>
  <si>
    <t>P3290</t>
  </si>
  <si>
    <t>14th Finance Commission Works - Providing Street Lights and Maintenance</t>
  </si>
  <si>
    <t>February</t>
  </si>
  <si>
    <t>120-15-000007</t>
  </si>
  <si>
    <t xml:space="preserve">Providing Asphalting to KP Agrahara Main Road in Ward No. 120 </t>
  </si>
  <si>
    <t>March</t>
  </si>
  <si>
    <t>120-17-000057</t>
  </si>
  <si>
    <t>Providing and Repairs to toilet in BBMP School Building at Magadi road 1st cross in ward no 120</t>
  </si>
  <si>
    <t>Health &amp; Sanitation</t>
  </si>
  <si>
    <t>S.Sathish</t>
  </si>
  <si>
    <t>P3110</t>
  </si>
  <si>
    <t>14th Finance Commission Grant Works</t>
  </si>
  <si>
    <t>120-18-000002</t>
  </si>
  <si>
    <t>Providing Asphalting and Improvements works at Belimutt road and surrounding area in ward no 120</t>
  </si>
  <si>
    <t>120-19-000002</t>
  </si>
  <si>
    <t>Providing Asphalting Cement Concrete road and Improvements to drain and footpath in Mill road and surroundings in ward no 120</t>
  </si>
  <si>
    <t>120-19-000001</t>
  </si>
  <si>
    <t>Improvements to drain culverts and providing Asphalting and CC road in Nethaji nagara and surroundings in ward no 120</t>
  </si>
  <si>
    <t>120-19-000003</t>
  </si>
  <si>
    <t>Providing CC road and Improvements to drain culverts and Footpath in T D Lane and surroundings in ward no 120</t>
  </si>
  <si>
    <t>120-19-000004</t>
  </si>
  <si>
    <t>Providing CC road and Improvements to drain and culvert in 9th B and 9th C Cross in ward no 120</t>
  </si>
  <si>
    <t>P3409</t>
  </si>
  <si>
    <t>SFC Untied SC-SP/TSP Grant works</t>
  </si>
  <si>
    <t>120-19-000005</t>
  </si>
  <si>
    <t>Providing CC road and other Improvements to 1st A 1st B and 1st C cross road in Keshavanagara slum in ward no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</si>
</sst>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workbookViewId="0">
      <pane ySplit="1" topLeftCell="A2" activePane="bottomLeft" state="frozen"/>
      <selection activeCell="H1" sqref="H1"/>
      <selection pane="bottomLeft" activeCell="A2" sqref="A2:XFD4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1230</v>
      </c>
      <c r="B2" s="9" t="s">
        <v>33</v>
      </c>
      <c r="C2" s="10">
        <v>43238</v>
      </c>
      <c r="D2" s="11">
        <v>120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"000.43"</f>
        <v>000.43</v>
      </c>
      <c r="M2" s="10">
        <v>42515</v>
      </c>
      <c r="N2" s="11" t="str">
        <f>"000055"</f>
        <v>000055</v>
      </c>
      <c r="O2" s="10">
        <v>42613</v>
      </c>
      <c r="P2" s="11" t="str">
        <f>"000254"</f>
        <v>000254</v>
      </c>
      <c r="Q2" s="10">
        <v>42613</v>
      </c>
      <c r="R2" s="11">
        <v>16</v>
      </c>
      <c r="S2" s="11" t="str">
        <f>"001493"</f>
        <v>001493</v>
      </c>
      <c r="T2" s="10">
        <v>43236</v>
      </c>
      <c r="U2" s="14">
        <v>3.5789499999999999</v>
      </c>
      <c r="V2" s="14">
        <v>0.45471</v>
      </c>
      <c r="W2" s="14">
        <v>3.1242399999999999</v>
      </c>
      <c r="X2" s="11">
        <v>52</v>
      </c>
      <c r="Y2" s="10">
        <v>43238</v>
      </c>
      <c r="Z2" s="11">
        <v>9731804566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3.5789500000000002E-2</v>
      </c>
      <c r="AG2" s="11" t="s">
        <v>46</v>
      </c>
    </row>
    <row r="3" spans="1:33" x14ac:dyDescent="0.2">
      <c r="A3" s="8">
        <v>1231</v>
      </c>
      <c r="B3" s="9" t="s">
        <v>33</v>
      </c>
      <c r="C3" s="10">
        <v>43238</v>
      </c>
      <c r="D3" s="11">
        <v>120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"000135"</f>
        <v>000135</v>
      </c>
      <c r="M3" s="10">
        <v>42432</v>
      </c>
      <c r="N3" s="11" t="str">
        <f>"000053"</f>
        <v>000053</v>
      </c>
      <c r="O3" s="10">
        <v>42613</v>
      </c>
      <c r="P3" s="11" t="str">
        <f>"000260"</f>
        <v>000260</v>
      </c>
      <c r="Q3" s="10">
        <v>42613</v>
      </c>
      <c r="R3" s="11">
        <v>16</v>
      </c>
      <c r="S3" s="11" t="str">
        <f>"001494"</f>
        <v>001494</v>
      </c>
      <c r="T3" s="10">
        <v>43236</v>
      </c>
      <c r="U3" s="14">
        <v>8.7904800000000005</v>
      </c>
      <c r="V3" s="14">
        <v>1.1187</v>
      </c>
      <c r="W3" s="14">
        <v>7.67178</v>
      </c>
      <c r="X3" s="11">
        <v>52</v>
      </c>
      <c r="Y3" s="10">
        <v>43238</v>
      </c>
      <c r="Z3" s="11">
        <v>9731804566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8.7904800000000005E-2</v>
      </c>
      <c r="AG3" s="11" t="s">
        <v>46</v>
      </c>
    </row>
    <row r="4" spans="1:33" x14ac:dyDescent="0.2">
      <c r="A4" s="8">
        <v>1232</v>
      </c>
      <c r="B4" s="9" t="s">
        <v>33</v>
      </c>
      <c r="C4" s="10">
        <v>43238</v>
      </c>
      <c r="D4" s="11">
        <v>120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50</v>
      </c>
      <c r="J4" s="12" t="s">
        <v>51</v>
      </c>
      <c r="K4" s="13" t="s">
        <v>40</v>
      </c>
      <c r="L4" s="11" t="str">
        <f>"000126"</f>
        <v>000126</v>
      </c>
      <c r="M4" s="10">
        <v>42425</v>
      </c>
      <c r="N4" s="11" t="str">
        <f>"000054"</f>
        <v>000054</v>
      </c>
      <c r="O4" s="10">
        <v>42613</v>
      </c>
      <c r="P4" s="11" t="str">
        <f>"000261"</f>
        <v>000261</v>
      </c>
      <c r="Q4" s="10">
        <v>42613</v>
      </c>
      <c r="R4" s="11">
        <v>16</v>
      </c>
      <c r="S4" s="11" t="str">
        <f>"001495"</f>
        <v>001495</v>
      </c>
      <c r="T4" s="10">
        <v>43236</v>
      </c>
      <c r="U4" s="14">
        <v>8.7453800000000008</v>
      </c>
      <c r="V4" s="14">
        <v>1.05494</v>
      </c>
      <c r="W4" s="14">
        <v>7.6904399999999997</v>
      </c>
      <c r="X4" s="11">
        <v>52</v>
      </c>
      <c r="Y4" s="10">
        <v>43238</v>
      </c>
      <c r="Z4" s="11">
        <v>9482579031</v>
      </c>
      <c r="AA4" s="12" t="s">
        <v>52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8.7453800000000012E-2</v>
      </c>
      <c r="AG4" s="11" t="s">
        <v>46</v>
      </c>
    </row>
    <row r="5" spans="1:33" x14ac:dyDescent="0.2">
      <c r="A5" s="8">
        <v>2353</v>
      </c>
      <c r="B5" s="9" t="s">
        <v>53</v>
      </c>
      <c r="C5" s="10">
        <v>43269</v>
      </c>
      <c r="D5" s="11">
        <v>120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54</v>
      </c>
      <c r="J5" s="12" t="s">
        <v>55</v>
      </c>
      <c r="K5" s="13" t="s">
        <v>56</v>
      </c>
      <c r="L5" s="11" t="str">
        <f>"000042"</f>
        <v>000042</v>
      </c>
      <c r="M5" s="10">
        <v>42838</v>
      </c>
      <c r="N5" s="11" t="str">
        <f>"000121"</f>
        <v>000121</v>
      </c>
      <c r="O5" s="10">
        <v>42840</v>
      </c>
      <c r="P5" s="11" t="str">
        <f>"000230"</f>
        <v>000230</v>
      </c>
      <c r="Q5" s="10">
        <v>42791</v>
      </c>
      <c r="R5" s="11">
        <v>16</v>
      </c>
      <c r="S5" s="11" t="str">
        <f>"002526"</f>
        <v>002526</v>
      </c>
      <c r="T5" s="10">
        <v>43264</v>
      </c>
      <c r="U5" s="14">
        <v>6.8317399999999999</v>
      </c>
      <c r="V5" s="14">
        <v>0.84814000000000001</v>
      </c>
      <c r="W5" s="14">
        <v>5.9836</v>
      </c>
      <c r="X5" s="11">
        <v>91</v>
      </c>
      <c r="Y5" s="10">
        <v>43269</v>
      </c>
      <c r="Z5" s="11">
        <v>8711939687</v>
      </c>
      <c r="AA5" s="12" t="s">
        <v>57</v>
      </c>
      <c r="AB5" s="11" t="s">
        <v>42</v>
      </c>
      <c r="AC5" s="12" t="s">
        <v>43</v>
      </c>
      <c r="AD5" s="11" t="s">
        <v>58</v>
      </c>
      <c r="AE5" s="12" t="s">
        <v>59</v>
      </c>
      <c r="AF5" s="14">
        <v>6.83174E-2</v>
      </c>
      <c r="AG5" s="11" t="s">
        <v>46</v>
      </c>
    </row>
    <row r="6" spans="1:33" x14ac:dyDescent="0.2">
      <c r="A6" s="8">
        <v>2580</v>
      </c>
      <c r="B6" s="9" t="s">
        <v>53</v>
      </c>
      <c r="C6" s="10">
        <v>43274</v>
      </c>
      <c r="D6" s="11">
        <v>120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60</v>
      </c>
      <c r="J6" s="12" t="s">
        <v>61</v>
      </c>
      <c r="K6" s="13" t="s">
        <v>40</v>
      </c>
      <c r="L6" s="11" t="str">
        <f>"000138"</f>
        <v>000138</v>
      </c>
      <c r="M6" s="10">
        <v>42432</v>
      </c>
      <c r="N6" s="11" t="str">
        <f>"000076"</f>
        <v>000076</v>
      </c>
      <c r="O6" s="10">
        <v>42668</v>
      </c>
      <c r="P6" s="11" t="str">
        <f>"000349"</f>
        <v>000349</v>
      </c>
      <c r="Q6" s="10">
        <v>42671</v>
      </c>
      <c r="R6" s="11">
        <v>16</v>
      </c>
      <c r="S6" s="11" t="str">
        <f>"002860"</f>
        <v>002860</v>
      </c>
      <c r="T6" s="10">
        <v>43273</v>
      </c>
      <c r="U6" s="14">
        <v>8.9907000000000004</v>
      </c>
      <c r="V6" s="14">
        <v>1.23695</v>
      </c>
      <c r="W6" s="14">
        <v>7.7537500000000001</v>
      </c>
      <c r="X6" s="11">
        <v>99</v>
      </c>
      <c r="Y6" s="10">
        <v>43274</v>
      </c>
      <c r="Z6" s="11">
        <v>9480087461</v>
      </c>
      <c r="AA6" s="12" t="s">
        <v>62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8.9907000000000001E-2</v>
      </c>
      <c r="AG6" s="11" t="s">
        <v>46</v>
      </c>
    </row>
    <row r="7" spans="1:33" x14ac:dyDescent="0.2">
      <c r="A7" s="8">
        <v>2581</v>
      </c>
      <c r="B7" s="9" t="s">
        <v>53</v>
      </c>
      <c r="C7" s="10">
        <v>43274</v>
      </c>
      <c r="D7" s="11">
        <v>120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63</v>
      </c>
      <c r="J7" s="12" t="s">
        <v>64</v>
      </c>
      <c r="K7" s="13" t="s">
        <v>40</v>
      </c>
      <c r="L7" s="11" t="str">
        <f>"000137"</f>
        <v>000137</v>
      </c>
      <c r="M7" s="10">
        <v>42432</v>
      </c>
      <c r="N7" s="11" t="str">
        <f>"000079"</f>
        <v>000079</v>
      </c>
      <c r="O7" s="10">
        <v>42671</v>
      </c>
      <c r="P7" s="11" t="str">
        <f>"000350"</f>
        <v>000350</v>
      </c>
      <c r="Q7" s="10">
        <v>42671</v>
      </c>
      <c r="R7" s="11">
        <v>16</v>
      </c>
      <c r="S7" s="11" t="str">
        <f>"002861"</f>
        <v>002861</v>
      </c>
      <c r="T7" s="10">
        <v>43273</v>
      </c>
      <c r="U7" s="14">
        <v>7.0850499999999998</v>
      </c>
      <c r="V7" s="14">
        <v>0.95311999999999997</v>
      </c>
      <c r="W7" s="14">
        <v>6.1319299999999997</v>
      </c>
      <c r="X7" s="11">
        <v>99</v>
      </c>
      <c r="Y7" s="10">
        <v>43274</v>
      </c>
      <c r="Z7" s="11">
        <v>9480087461</v>
      </c>
      <c r="AA7" s="12" t="s">
        <v>62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7.0850499999999997E-2</v>
      </c>
      <c r="AG7" s="11" t="s">
        <v>46</v>
      </c>
    </row>
    <row r="8" spans="1:33" x14ac:dyDescent="0.2">
      <c r="A8" s="8">
        <v>2582</v>
      </c>
      <c r="B8" s="9" t="s">
        <v>53</v>
      </c>
      <c r="C8" s="10">
        <v>43274</v>
      </c>
      <c r="D8" s="11">
        <v>120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65</v>
      </c>
      <c r="J8" s="12" t="s">
        <v>66</v>
      </c>
      <c r="K8" s="13" t="s">
        <v>49</v>
      </c>
      <c r="L8" s="11" t="str">
        <f>"00.104"</f>
        <v>00.104</v>
      </c>
      <c r="M8" s="10">
        <v>42639</v>
      </c>
      <c r="N8" s="11" t="str">
        <f>"000.06"</f>
        <v>000.06</v>
      </c>
      <c r="O8" s="10">
        <v>42671</v>
      </c>
      <c r="P8" s="11" t="str">
        <f>"000418"</f>
        <v>000418</v>
      </c>
      <c r="Q8" s="10">
        <v>42671</v>
      </c>
      <c r="R8" s="11">
        <v>16</v>
      </c>
      <c r="S8" s="11" t="str">
        <f>"002878"</f>
        <v>002878</v>
      </c>
      <c r="T8" s="10">
        <v>43273</v>
      </c>
      <c r="U8" s="14">
        <v>8.9775299999999998</v>
      </c>
      <c r="V8" s="14">
        <v>1.04911</v>
      </c>
      <c r="W8" s="14">
        <v>7.92842</v>
      </c>
      <c r="X8" s="11">
        <v>99</v>
      </c>
      <c r="Y8" s="10">
        <v>43274</v>
      </c>
      <c r="Z8" s="11">
        <v>9945417770</v>
      </c>
      <c r="AA8" s="12" t="s">
        <v>67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8.9775300000000002E-2</v>
      </c>
      <c r="AG8" s="11" t="s">
        <v>46</v>
      </c>
    </row>
    <row r="9" spans="1:33" x14ac:dyDescent="0.2">
      <c r="A9" s="8">
        <v>3087</v>
      </c>
      <c r="B9" s="9" t="s">
        <v>68</v>
      </c>
      <c r="C9" s="10">
        <v>43287</v>
      </c>
      <c r="D9" s="11">
        <v>120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69</v>
      </c>
      <c r="J9" s="12" t="s">
        <v>70</v>
      </c>
      <c r="K9" s="13" t="s">
        <v>56</v>
      </c>
      <c r="L9" s="11" t="str">
        <f>"000161"</f>
        <v>000161</v>
      </c>
      <c r="M9" s="10">
        <v>42051</v>
      </c>
      <c r="N9" s="11" t="str">
        <f>"000089"</f>
        <v>000089</v>
      </c>
      <c r="O9" s="10">
        <v>42703</v>
      </c>
      <c r="P9" s="11" t="str">
        <f>"000435"</f>
        <v>000435</v>
      </c>
      <c r="Q9" s="10">
        <v>42703</v>
      </c>
      <c r="R9" s="11">
        <v>15</v>
      </c>
      <c r="S9" s="11" t="str">
        <f>"003244"</f>
        <v>003244</v>
      </c>
      <c r="T9" s="10">
        <v>43283</v>
      </c>
      <c r="U9" s="14">
        <v>13.093500000000001</v>
      </c>
      <c r="V9" s="14">
        <v>1.80765</v>
      </c>
      <c r="W9" s="14">
        <v>11.28585</v>
      </c>
      <c r="X9" s="11">
        <v>113</v>
      </c>
      <c r="Y9" s="10">
        <v>43287</v>
      </c>
      <c r="Z9" s="11">
        <v>9480087461</v>
      </c>
      <c r="AA9" s="12" t="s">
        <v>62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0.130935</v>
      </c>
      <c r="AG9" s="11" t="s">
        <v>46</v>
      </c>
    </row>
    <row r="10" spans="1:33" x14ac:dyDescent="0.2">
      <c r="A10" s="8">
        <v>3088</v>
      </c>
      <c r="B10" s="9" t="s">
        <v>68</v>
      </c>
      <c r="C10" s="10">
        <v>43287</v>
      </c>
      <c r="D10" s="11">
        <v>120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71</v>
      </c>
      <c r="J10" s="12" t="s">
        <v>72</v>
      </c>
      <c r="K10" s="13" t="s">
        <v>40</v>
      </c>
      <c r="L10" s="11" t="str">
        <f>"000168"</f>
        <v>000168</v>
      </c>
      <c r="M10" s="10">
        <v>42432</v>
      </c>
      <c r="N10" s="11" t="str">
        <f>"000078"</f>
        <v>000078</v>
      </c>
      <c r="O10" s="10">
        <v>42671</v>
      </c>
      <c r="P10" s="11" t="str">
        <f>"000351"</f>
        <v>000351</v>
      </c>
      <c r="Q10" s="10">
        <v>42671</v>
      </c>
      <c r="R10" s="11">
        <v>15</v>
      </c>
      <c r="S10" s="11" t="str">
        <f>"003298"</f>
        <v>003298</v>
      </c>
      <c r="T10" s="10">
        <v>43285</v>
      </c>
      <c r="U10" s="14">
        <v>8.9311900000000009</v>
      </c>
      <c r="V10" s="14">
        <v>1.21021</v>
      </c>
      <c r="W10" s="14">
        <v>7.72098</v>
      </c>
      <c r="X10" s="11">
        <v>113</v>
      </c>
      <c r="Y10" s="10">
        <v>43287</v>
      </c>
      <c r="Z10" s="11">
        <v>9480087461</v>
      </c>
      <c r="AA10" s="12" t="s">
        <v>73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8.9311900000000013E-2</v>
      </c>
      <c r="AG10" s="11" t="s">
        <v>46</v>
      </c>
    </row>
    <row r="11" spans="1:33" x14ac:dyDescent="0.2">
      <c r="A11" s="8">
        <v>3380</v>
      </c>
      <c r="B11" s="9" t="s">
        <v>68</v>
      </c>
      <c r="C11" s="10">
        <v>43298</v>
      </c>
      <c r="D11" s="11">
        <v>120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74</v>
      </c>
      <c r="J11" s="12" t="s">
        <v>75</v>
      </c>
      <c r="K11" s="13" t="s">
        <v>40</v>
      </c>
      <c r="L11" s="11" t="str">
        <f>"000037"</f>
        <v>000037</v>
      </c>
      <c r="M11" s="10">
        <v>43243</v>
      </c>
      <c r="N11" s="11" t="str">
        <f>"000007"</f>
        <v>000007</v>
      </c>
      <c r="O11" s="10">
        <v>43243</v>
      </c>
      <c r="P11" s="11" t="str">
        <f>"000037"</f>
        <v>000037</v>
      </c>
      <c r="Q11" s="10">
        <v>43243</v>
      </c>
      <c r="R11" s="11">
        <v>16</v>
      </c>
      <c r="S11" s="11" t="str">
        <f>"003327"</f>
        <v>003327</v>
      </c>
      <c r="T11" s="10">
        <v>43286</v>
      </c>
      <c r="U11" s="14">
        <v>9.5839099999999995</v>
      </c>
      <c r="V11" s="14">
        <v>1.1098399999999999</v>
      </c>
      <c r="W11" s="14">
        <v>8.4740699999999993</v>
      </c>
      <c r="X11" s="11">
        <v>126</v>
      </c>
      <c r="Y11" s="10">
        <v>43298</v>
      </c>
      <c r="Z11" s="11">
        <v>9483161122</v>
      </c>
      <c r="AA11" s="12" t="s">
        <v>76</v>
      </c>
      <c r="AB11" s="11" t="s">
        <v>77</v>
      </c>
      <c r="AC11" s="12" t="s">
        <v>78</v>
      </c>
      <c r="AD11" s="11" t="s">
        <v>44</v>
      </c>
      <c r="AE11" s="12" t="s">
        <v>45</v>
      </c>
      <c r="AF11" s="14">
        <v>9.5839099999999997E-2</v>
      </c>
      <c r="AG11" s="11" t="s">
        <v>79</v>
      </c>
    </row>
    <row r="12" spans="1:33" x14ac:dyDescent="0.2">
      <c r="A12" s="8">
        <v>3381</v>
      </c>
      <c r="B12" s="9" t="s">
        <v>68</v>
      </c>
      <c r="C12" s="10">
        <v>43298</v>
      </c>
      <c r="D12" s="11">
        <v>120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80</v>
      </c>
      <c r="J12" s="12" t="s">
        <v>81</v>
      </c>
      <c r="K12" s="13" t="s">
        <v>40</v>
      </c>
      <c r="L12" s="11" t="str">
        <f>"000038"</f>
        <v>000038</v>
      </c>
      <c r="M12" s="10">
        <v>43243</v>
      </c>
      <c r="N12" s="11" t="str">
        <f>"000008"</f>
        <v>000008</v>
      </c>
      <c r="O12" s="10">
        <v>43243</v>
      </c>
      <c r="P12" s="11" t="str">
        <f>"000036"</f>
        <v>000036</v>
      </c>
      <c r="Q12" s="10">
        <v>43243</v>
      </c>
      <c r="R12" s="11">
        <v>16</v>
      </c>
      <c r="S12" s="11" t="str">
        <f>"003328"</f>
        <v>003328</v>
      </c>
      <c r="T12" s="10">
        <v>43286</v>
      </c>
      <c r="U12" s="14">
        <v>2.0340400000000001</v>
      </c>
      <c r="V12" s="14">
        <v>0.22871</v>
      </c>
      <c r="W12" s="14">
        <v>1.8053300000000001</v>
      </c>
      <c r="X12" s="11">
        <v>126</v>
      </c>
      <c r="Y12" s="10">
        <v>43298</v>
      </c>
      <c r="Z12" s="11">
        <v>9483161122</v>
      </c>
      <c r="AA12" s="12" t="s">
        <v>76</v>
      </c>
      <c r="AB12" s="11" t="s">
        <v>77</v>
      </c>
      <c r="AC12" s="12" t="s">
        <v>78</v>
      </c>
      <c r="AD12" s="11" t="s">
        <v>44</v>
      </c>
      <c r="AE12" s="12" t="s">
        <v>45</v>
      </c>
      <c r="AF12" s="14">
        <v>2.0340400000000002E-2</v>
      </c>
      <c r="AG12" s="11" t="s">
        <v>79</v>
      </c>
    </row>
    <row r="13" spans="1:33" x14ac:dyDescent="0.2">
      <c r="A13" s="8">
        <v>4004</v>
      </c>
      <c r="B13" s="9" t="s">
        <v>68</v>
      </c>
      <c r="C13" s="10">
        <v>43307</v>
      </c>
      <c r="D13" s="11">
        <v>120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82</v>
      </c>
      <c r="J13" s="12" t="s">
        <v>83</v>
      </c>
      <c r="K13" s="13" t="s">
        <v>84</v>
      </c>
      <c r="L13" s="11" t="str">
        <f>"000070"</f>
        <v>000070</v>
      </c>
      <c r="M13" s="10">
        <v>42719</v>
      </c>
      <c r="N13" s="11" t="str">
        <f>"000028"</f>
        <v>000028</v>
      </c>
      <c r="O13" s="10">
        <v>42807</v>
      </c>
      <c r="P13" s="11" t="str">
        <f>"000015"</f>
        <v>000015</v>
      </c>
      <c r="Q13" s="10">
        <v>42852</v>
      </c>
      <c r="R13" s="11">
        <v>17</v>
      </c>
      <c r="S13" s="11" t="str">
        <f>"004222"</f>
        <v>004222</v>
      </c>
      <c r="T13" s="10">
        <v>43305</v>
      </c>
      <c r="U13" s="14">
        <v>24.98002</v>
      </c>
      <c r="V13" s="14">
        <v>3.0425800000000001</v>
      </c>
      <c r="W13" s="14">
        <v>21.937439999999999</v>
      </c>
      <c r="X13" s="11">
        <v>142</v>
      </c>
      <c r="Y13" s="10">
        <v>43307</v>
      </c>
      <c r="Z13" s="11">
        <v>9880521864</v>
      </c>
      <c r="AA13" s="12" t="s">
        <v>85</v>
      </c>
      <c r="AB13" s="11" t="s">
        <v>86</v>
      </c>
      <c r="AC13" s="12" t="s">
        <v>87</v>
      </c>
      <c r="AD13" s="11" t="s">
        <v>88</v>
      </c>
      <c r="AE13" s="12" t="s">
        <v>89</v>
      </c>
      <c r="AF13" s="14">
        <v>0.2498002</v>
      </c>
      <c r="AG13" s="11" t="s">
        <v>46</v>
      </c>
    </row>
    <row r="14" spans="1:33" x14ac:dyDescent="0.2">
      <c r="A14" s="8">
        <v>5474</v>
      </c>
      <c r="B14" s="9" t="s">
        <v>90</v>
      </c>
      <c r="C14" s="10">
        <v>43357</v>
      </c>
      <c r="D14" s="11">
        <v>120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91</v>
      </c>
      <c r="J14" s="12" t="s">
        <v>92</v>
      </c>
      <c r="K14" s="13" t="s">
        <v>56</v>
      </c>
      <c r="L14" s="11" t="str">
        <f>"000106"</f>
        <v>000106</v>
      </c>
      <c r="M14" s="10">
        <v>42650</v>
      </c>
      <c r="N14" s="11" t="str">
        <f>"000024"</f>
        <v>000024</v>
      </c>
      <c r="O14" s="10">
        <v>42875</v>
      </c>
      <c r="P14" s="11" t="str">
        <f>"000261"</f>
        <v>000261</v>
      </c>
      <c r="Q14" s="10">
        <v>42916</v>
      </c>
      <c r="R14" s="11">
        <v>16</v>
      </c>
      <c r="S14" s="11" t="str">
        <f>"005642"</f>
        <v>005642</v>
      </c>
      <c r="T14" s="10">
        <v>43349</v>
      </c>
      <c r="U14" s="14">
        <v>5.8800100000000004</v>
      </c>
      <c r="V14" s="14">
        <v>0.45613999999999999</v>
      </c>
      <c r="W14" s="14">
        <v>5.42387</v>
      </c>
      <c r="X14" s="11">
        <v>203</v>
      </c>
      <c r="Y14" s="10">
        <v>43357</v>
      </c>
      <c r="Z14" s="11">
        <v>9535555996</v>
      </c>
      <c r="AA14" s="12" t="s">
        <v>93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f t="shared" ref="AF14:AF43" si="0">U14/100</f>
        <v>5.8800100000000001E-2</v>
      </c>
      <c r="AG14" s="11" t="s">
        <v>46</v>
      </c>
    </row>
    <row r="15" spans="1:33" x14ac:dyDescent="0.2">
      <c r="A15" s="8">
        <v>5475</v>
      </c>
      <c r="B15" s="9" t="s">
        <v>90</v>
      </c>
      <c r="C15" s="10">
        <v>43357</v>
      </c>
      <c r="D15" s="11">
        <v>120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94</v>
      </c>
      <c r="J15" s="12" t="s">
        <v>95</v>
      </c>
      <c r="K15" s="13" t="s">
        <v>49</v>
      </c>
      <c r="L15" s="11" t="str">
        <f>"000239"</f>
        <v>000239</v>
      </c>
      <c r="M15" s="10">
        <v>42853</v>
      </c>
      <c r="N15" s="11" t="str">
        <f>"000057"</f>
        <v>000057</v>
      </c>
      <c r="O15" s="10">
        <v>42916</v>
      </c>
      <c r="P15" s="11" t="str">
        <f>"000366"</f>
        <v>000366</v>
      </c>
      <c r="Q15" s="10">
        <v>42975</v>
      </c>
      <c r="R15" s="11">
        <v>17</v>
      </c>
      <c r="S15" s="11" t="str">
        <f>"005665"</f>
        <v>005665</v>
      </c>
      <c r="T15" s="10">
        <v>43350</v>
      </c>
      <c r="U15" s="14">
        <v>4.9105100000000004</v>
      </c>
      <c r="V15" s="14">
        <v>0.57406000000000001</v>
      </c>
      <c r="W15" s="14">
        <v>4.3364500000000001</v>
      </c>
      <c r="X15" s="11">
        <v>204</v>
      </c>
      <c r="Y15" s="10">
        <v>43357</v>
      </c>
      <c r="Z15" s="11">
        <v>7676763113</v>
      </c>
      <c r="AA15" s="12" t="s">
        <v>96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f t="shared" si="0"/>
        <v>4.9105100000000006E-2</v>
      </c>
      <c r="AG15" s="11" t="s">
        <v>46</v>
      </c>
    </row>
    <row r="16" spans="1:33" x14ac:dyDescent="0.2">
      <c r="A16" s="8">
        <v>5476</v>
      </c>
      <c r="B16" s="9" t="s">
        <v>90</v>
      </c>
      <c r="C16" s="10">
        <v>43357</v>
      </c>
      <c r="D16" s="11">
        <v>120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97</v>
      </c>
      <c r="J16" s="12" t="s">
        <v>98</v>
      </c>
      <c r="K16" s="13" t="s">
        <v>49</v>
      </c>
      <c r="L16" s="11" t="str">
        <f>"000214"</f>
        <v>000214</v>
      </c>
      <c r="M16" s="10">
        <v>42849</v>
      </c>
      <c r="N16" s="11" t="str">
        <f>"000056"</f>
        <v>000056</v>
      </c>
      <c r="O16" s="10">
        <v>42916</v>
      </c>
      <c r="P16" s="11" t="str">
        <f>"000367"</f>
        <v>000367</v>
      </c>
      <c r="Q16" s="10">
        <v>42975</v>
      </c>
      <c r="R16" s="11">
        <v>17</v>
      </c>
      <c r="S16" s="11" t="str">
        <f>"005673"</f>
        <v>005673</v>
      </c>
      <c r="T16" s="10">
        <v>43350</v>
      </c>
      <c r="U16" s="14">
        <v>4.9424799999999998</v>
      </c>
      <c r="V16" s="14">
        <v>0.57762000000000002</v>
      </c>
      <c r="W16" s="14">
        <v>4.3648600000000002</v>
      </c>
      <c r="X16" s="11">
        <v>204</v>
      </c>
      <c r="Y16" s="10">
        <v>43357</v>
      </c>
      <c r="Z16" s="11">
        <v>7676763113</v>
      </c>
      <c r="AA16" s="12" t="s">
        <v>96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f t="shared" si="0"/>
        <v>4.9424799999999998E-2</v>
      </c>
      <c r="AG16" s="11" t="s">
        <v>46</v>
      </c>
    </row>
    <row r="17" spans="1:33" x14ac:dyDescent="0.2">
      <c r="A17" s="8">
        <v>5698</v>
      </c>
      <c r="B17" s="9" t="s">
        <v>90</v>
      </c>
      <c r="C17" s="10">
        <v>43370</v>
      </c>
      <c r="D17" s="11">
        <v>120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99</v>
      </c>
      <c r="J17" s="12" t="s">
        <v>100</v>
      </c>
      <c r="K17" s="13" t="s">
        <v>56</v>
      </c>
      <c r="L17" s="11" t="str">
        <f>"000107"</f>
        <v>000107</v>
      </c>
      <c r="M17" s="10">
        <v>42650</v>
      </c>
      <c r="N17" s="11" t="str">
        <f>"000013"</f>
        <v>000013</v>
      </c>
      <c r="O17" s="10">
        <v>42898</v>
      </c>
      <c r="P17" s="11" t="str">
        <f>"000260"</f>
        <v>000260</v>
      </c>
      <c r="Q17" s="10">
        <v>42916</v>
      </c>
      <c r="R17" s="11">
        <v>16</v>
      </c>
      <c r="S17" s="11" t="str">
        <f>"005822"</f>
        <v>005822</v>
      </c>
      <c r="T17" s="10">
        <v>43362</v>
      </c>
      <c r="U17" s="14">
        <v>5.8800100000000004</v>
      </c>
      <c r="V17" s="14">
        <v>0.45613999999999999</v>
      </c>
      <c r="W17" s="14">
        <v>5.42387</v>
      </c>
      <c r="X17" s="11">
        <v>219</v>
      </c>
      <c r="Y17" s="10">
        <v>43370</v>
      </c>
      <c r="Z17" s="11">
        <v>9535555996</v>
      </c>
      <c r="AA17" s="12" t="s">
        <v>93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f t="shared" si="0"/>
        <v>5.8800100000000001E-2</v>
      </c>
      <c r="AG17" s="11" t="s">
        <v>46</v>
      </c>
    </row>
    <row r="18" spans="1:33" x14ac:dyDescent="0.2">
      <c r="A18" s="8">
        <v>5884</v>
      </c>
      <c r="B18" s="9" t="s">
        <v>101</v>
      </c>
      <c r="C18" s="10">
        <v>43383</v>
      </c>
      <c r="D18" s="11">
        <v>120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102</v>
      </c>
      <c r="J18" s="12" t="s">
        <v>103</v>
      </c>
      <c r="K18" s="13" t="s">
        <v>56</v>
      </c>
      <c r="L18" s="11" t="str">
        <f>"000104"</f>
        <v>000104</v>
      </c>
      <c r="M18" s="10">
        <v>43309</v>
      </c>
      <c r="N18" s="11" t="str">
        <f>"000024"</f>
        <v>000024</v>
      </c>
      <c r="O18" s="10">
        <v>43309</v>
      </c>
      <c r="P18" s="11" t="str">
        <f>"000109"</f>
        <v>000109</v>
      </c>
      <c r="Q18" s="10">
        <v>43309</v>
      </c>
      <c r="R18" s="11">
        <v>18</v>
      </c>
      <c r="S18" s="11" t="str">
        <f>"006202"</f>
        <v>006202</v>
      </c>
      <c r="T18" s="10">
        <v>43379</v>
      </c>
      <c r="U18" s="14">
        <v>49.576949999999997</v>
      </c>
      <c r="V18" s="14">
        <v>5.6703700000000001</v>
      </c>
      <c r="W18" s="14">
        <v>43.906579999999998</v>
      </c>
      <c r="X18" s="11">
        <v>225</v>
      </c>
      <c r="Y18" s="10">
        <v>43383</v>
      </c>
      <c r="Z18" s="11">
        <v>9483161122</v>
      </c>
      <c r="AA18" s="12" t="s">
        <v>104</v>
      </c>
      <c r="AB18" s="11" t="s">
        <v>77</v>
      </c>
      <c r="AC18" s="12" t="s">
        <v>78</v>
      </c>
      <c r="AD18" s="11" t="s">
        <v>44</v>
      </c>
      <c r="AE18" s="12" t="s">
        <v>45</v>
      </c>
      <c r="AF18" s="14">
        <f t="shared" si="0"/>
        <v>0.49576949999999997</v>
      </c>
      <c r="AG18" s="11" t="s">
        <v>79</v>
      </c>
    </row>
    <row r="19" spans="1:33" x14ac:dyDescent="0.2">
      <c r="A19" s="8">
        <v>5885</v>
      </c>
      <c r="B19" s="9" t="s">
        <v>101</v>
      </c>
      <c r="C19" s="10">
        <v>43383</v>
      </c>
      <c r="D19" s="11">
        <v>120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102</v>
      </c>
      <c r="J19" s="12" t="s">
        <v>103</v>
      </c>
      <c r="K19" s="13" t="s">
        <v>56</v>
      </c>
      <c r="L19" s="11" t="str">
        <f>"000104"</f>
        <v>000104</v>
      </c>
      <c r="M19" s="10">
        <v>43309</v>
      </c>
      <c r="N19" s="11" t="str">
        <f>"000024"</f>
        <v>000024</v>
      </c>
      <c r="O19" s="10">
        <v>43309</v>
      </c>
      <c r="P19" s="11" t="str">
        <f>"000109"</f>
        <v>000109</v>
      </c>
      <c r="Q19" s="10">
        <v>43309</v>
      </c>
      <c r="R19" s="11">
        <v>18</v>
      </c>
      <c r="S19" s="11" t="str">
        <f>"006202"</f>
        <v>006202</v>
      </c>
      <c r="T19" s="10">
        <v>43379</v>
      </c>
      <c r="U19" s="14">
        <v>49.576949999999997</v>
      </c>
      <c r="V19" s="14">
        <v>5.6703700000000001</v>
      </c>
      <c r="W19" s="14">
        <v>43.906579999999998</v>
      </c>
      <c r="X19" s="11">
        <v>225</v>
      </c>
      <c r="Y19" s="10">
        <v>43383</v>
      </c>
      <c r="Z19" s="11">
        <v>9483161122</v>
      </c>
      <c r="AA19" s="12" t="s">
        <v>104</v>
      </c>
      <c r="AB19" s="11" t="s">
        <v>77</v>
      </c>
      <c r="AC19" s="12" t="s">
        <v>78</v>
      </c>
      <c r="AD19" s="11" t="s">
        <v>44</v>
      </c>
      <c r="AE19" s="12" t="s">
        <v>45</v>
      </c>
      <c r="AF19" s="14">
        <f t="shared" si="0"/>
        <v>0.49576949999999997</v>
      </c>
      <c r="AG19" s="11" t="s">
        <v>79</v>
      </c>
    </row>
    <row r="20" spans="1:33" x14ac:dyDescent="0.2">
      <c r="A20" s="8">
        <v>7013</v>
      </c>
      <c r="B20" s="9" t="s">
        <v>101</v>
      </c>
      <c r="C20" s="10">
        <v>43403</v>
      </c>
      <c r="D20" s="11">
        <v>120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105</v>
      </c>
      <c r="J20" s="12" t="s">
        <v>106</v>
      </c>
      <c r="K20" s="13" t="s">
        <v>56</v>
      </c>
      <c r="L20" s="11" t="str">
        <f>"00.196"</f>
        <v>00.196</v>
      </c>
      <c r="M20" s="10">
        <v>42843</v>
      </c>
      <c r="N20" s="11" t="str">
        <f>"0000.9"</f>
        <v>0000.9</v>
      </c>
      <c r="O20" s="10">
        <v>42882</v>
      </c>
      <c r="P20" s="11" t="str">
        <f>"000164"</f>
        <v>000164</v>
      </c>
      <c r="Q20" s="10">
        <v>42882</v>
      </c>
      <c r="R20" s="11">
        <v>17</v>
      </c>
      <c r="S20" s="11" t="str">
        <f>"007020"</f>
        <v>007020</v>
      </c>
      <c r="T20" s="10">
        <v>43400</v>
      </c>
      <c r="U20" s="14">
        <v>8.3670299999999997</v>
      </c>
      <c r="V20" s="14">
        <v>1.06925</v>
      </c>
      <c r="W20" s="14">
        <v>7.2977800000000004</v>
      </c>
      <c r="X20" s="11">
        <v>255</v>
      </c>
      <c r="Y20" s="10">
        <v>43403</v>
      </c>
      <c r="Z20" s="11">
        <v>9945417770</v>
      </c>
      <c r="AA20" s="12" t="s">
        <v>107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f t="shared" si="0"/>
        <v>8.3670300000000003E-2</v>
      </c>
      <c r="AG20" s="11" t="s">
        <v>46</v>
      </c>
    </row>
    <row r="21" spans="1:33" x14ac:dyDescent="0.2">
      <c r="A21" s="8">
        <v>7098</v>
      </c>
      <c r="B21" s="9" t="s">
        <v>101</v>
      </c>
      <c r="C21" s="10">
        <v>43404</v>
      </c>
      <c r="D21" s="11">
        <v>120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108</v>
      </c>
      <c r="J21" s="12" t="s">
        <v>109</v>
      </c>
      <c r="K21" s="13" t="s">
        <v>56</v>
      </c>
      <c r="L21" s="11" t="str">
        <f>"000114"</f>
        <v>000114</v>
      </c>
      <c r="M21" s="10">
        <v>43312</v>
      </c>
      <c r="N21" s="11" t="str">
        <f>"000028"</f>
        <v>000028</v>
      </c>
      <c r="O21" s="10">
        <v>43312</v>
      </c>
      <c r="P21" s="11" t="str">
        <f>"000114"</f>
        <v>000114</v>
      </c>
      <c r="Q21" s="10">
        <v>43312</v>
      </c>
      <c r="R21" s="11">
        <v>18</v>
      </c>
      <c r="S21" s="11" t="str">
        <f>"007131"</f>
        <v>007131</v>
      </c>
      <c r="T21" s="10">
        <v>43403</v>
      </c>
      <c r="U21" s="14">
        <v>55.461399999999998</v>
      </c>
      <c r="V21" s="14">
        <v>5.4638</v>
      </c>
      <c r="W21" s="14">
        <v>49.997599999999998</v>
      </c>
      <c r="X21" s="11">
        <v>259</v>
      </c>
      <c r="Y21" s="10">
        <v>43404</v>
      </c>
      <c r="Z21" s="11">
        <v>9483161122</v>
      </c>
      <c r="AA21" s="12" t="s">
        <v>104</v>
      </c>
      <c r="AB21" s="11" t="s">
        <v>77</v>
      </c>
      <c r="AC21" s="12" t="s">
        <v>78</v>
      </c>
      <c r="AD21" s="11" t="s">
        <v>44</v>
      </c>
      <c r="AE21" s="12" t="s">
        <v>45</v>
      </c>
      <c r="AF21" s="14">
        <f t="shared" si="0"/>
        <v>0.55461399999999994</v>
      </c>
      <c r="AG21" s="11" t="s">
        <v>79</v>
      </c>
    </row>
    <row r="22" spans="1:33" x14ac:dyDescent="0.2">
      <c r="A22" s="8">
        <v>7099</v>
      </c>
      <c r="B22" s="9" t="s">
        <v>101</v>
      </c>
      <c r="C22" s="10">
        <v>43404</v>
      </c>
      <c r="D22" s="11">
        <v>120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110</v>
      </c>
      <c r="J22" s="12" t="s">
        <v>111</v>
      </c>
      <c r="K22" s="13" t="s">
        <v>112</v>
      </c>
      <c r="L22" s="11" t="str">
        <f>"000081"</f>
        <v>000081</v>
      </c>
      <c r="M22" s="10">
        <v>43294</v>
      </c>
      <c r="N22" s="11" t="str">
        <f>"000021"</f>
        <v>000021</v>
      </c>
      <c r="O22" s="10">
        <v>43294</v>
      </c>
      <c r="P22" s="11" t="str">
        <f>"000081"</f>
        <v>000081</v>
      </c>
      <c r="Q22" s="10">
        <v>43294</v>
      </c>
      <c r="R22" s="11">
        <v>18</v>
      </c>
      <c r="S22" s="11" t="str">
        <f>"007055"</f>
        <v>007055</v>
      </c>
      <c r="T22" s="10">
        <v>43400</v>
      </c>
      <c r="U22" s="14">
        <v>14.970330000000001</v>
      </c>
      <c r="V22" s="14">
        <v>1.8003800000000001</v>
      </c>
      <c r="W22" s="14">
        <v>13.16995</v>
      </c>
      <c r="X22" s="11">
        <v>260</v>
      </c>
      <c r="Y22" s="10">
        <v>43404</v>
      </c>
      <c r="Z22" s="11">
        <v>9483161122</v>
      </c>
      <c r="AA22" s="12" t="s">
        <v>113</v>
      </c>
      <c r="AB22" s="11" t="s">
        <v>114</v>
      </c>
      <c r="AC22" s="12" t="s">
        <v>115</v>
      </c>
      <c r="AD22" s="11" t="s">
        <v>44</v>
      </c>
      <c r="AE22" s="12" t="s">
        <v>45</v>
      </c>
      <c r="AF22" s="14">
        <f t="shared" si="0"/>
        <v>0.14970330000000001</v>
      </c>
      <c r="AG22" s="11" t="s">
        <v>79</v>
      </c>
    </row>
    <row r="23" spans="1:33" x14ac:dyDescent="0.2">
      <c r="A23" s="8">
        <v>7304</v>
      </c>
      <c r="B23" s="9" t="s">
        <v>116</v>
      </c>
      <c r="C23" s="10">
        <v>43421</v>
      </c>
      <c r="D23" s="11">
        <v>120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117</v>
      </c>
      <c r="J23" s="12" t="s">
        <v>118</v>
      </c>
      <c r="K23" s="13" t="s">
        <v>56</v>
      </c>
      <c r="L23" s="11" t="str">
        <f>"000115"</f>
        <v>000115</v>
      </c>
      <c r="M23" s="10">
        <v>43312</v>
      </c>
      <c r="N23" s="11" t="str">
        <f>"000029"</f>
        <v>000029</v>
      </c>
      <c r="O23" s="10">
        <v>43312</v>
      </c>
      <c r="P23" s="11" t="str">
        <f>"000115"</f>
        <v>000115</v>
      </c>
      <c r="Q23" s="10">
        <v>43312</v>
      </c>
      <c r="R23" s="11">
        <v>18</v>
      </c>
      <c r="S23" s="11" t="str">
        <f>"007322"</f>
        <v>007322</v>
      </c>
      <c r="T23" s="10">
        <v>43418</v>
      </c>
      <c r="U23" s="14">
        <v>55.467849999999999</v>
      </c>
      <c r="V23" s="14">
        <v>5.4764400000000002</v>
      </c>
      <c r="W23" s="14">
        <v>49.991410000000002</v>
      </c>
      <c r="X23" s="11">
        <v>269</v>
      </c>
      <c r="Y23" s="10">
        <v>43421</v>
      </c>
      <c r="Z23" s="11">
        <v>9483161122</v>
      </c>
      <c r="AA23" s="12" t="s">
        <v>104</v>
      </c>
      <c r="AB23" s="11" t="s">
        <v>77</v>
      </c>
      <c r="AC23" s="12" t="s">
        <v>78</v>
      </c>
      <c r="AD23" s="11" t="s">
        <v>44</v>
      </c>
      <c r="AE23" s="12" t="s">
        <v>45</v>
      </c>
      <c r="AF23" s="14">
        <f t="shared" si="0"/>
        <v>0.55467849999999996</v>
      </c>
      <c r="AG23" s="11" t="s">
        <v>79</v>
      </c>
    </row>
    <row r="24" spans="1:33" x14ac:dyDescent="0.2">
      <c r="A24" s="8">
        <v>7305</v>
      </c>
      <c r="B24" s="9" t="s">
        <v>116</v>
      </c>
      <c r="C24" s="10">
        <v>43421</v>
      </c>
      <c r="D24" s="11">
        <v>120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119</v>
      </c>
      <c r="J24" s="12" t="s">
        <v>120</v>
      </c>
      <c r="K24" s="13" t="s">
        <v>56</v>
      </c>
      <c r="L24" s="11" t="str">
        <f>"000113"</f>
        <v>000113</v>
      </c>
      <c r="M24" s="10">
        <v>43312</v>
      </c>
      <c r="N24" s="11" t="str">
        <f>"000027"</f>
        <v>000027</v>
      </c>
      <c r="O24" s="10">
        <v>43312</v>
      </c>
      <c r="P24" s="11" t="str">
        <f>"000113"</f>
        <v>000113</v>
      </c>
      <c r="Q24" s="10">
        <v>43312</v>
      </c>
      <c r="R24" s="11">
        <v>18</v>
      </c>
      <c r="S24" s="11" t="str">
        <f>"007323"</f>
        <v>007323</v>
      </c>
      <c r="T24" s="10">
        <v>43418</v>
      </c>
      <c r="U24" s="14">
        <v>55.450159999999997</v>
      </c>
      <c r="V24" s="14">
        <v>5.4667500000000002</v>
      </c>
      <c r="W24" s="14">
        <v>49.983409999999999</v>
      </c>
      <c r="X24" s="11">
        <v>269</v>
      </c>
      <c r="Y24" s="10">
        <v>43421</v>
      </c>
      <c r="Z24" s="11">
        <v>9483161122</v>
      </c>
      <c r="AA24" s="12" t="s">
        <v>104</v>
      </c>
      <c r="AB24" s="11" t="s">
        <v>77</v>
      </c>
      <c r="AC24" s="12" t="s">
        <v>78</v>
      </c>
      <c r="AD24" s="11" t="s">
        <v>44</v>
      </c>
      <c r="AE24" s="12" t="s">
        <v>45</v>
      </c>
      <c r="AF24" s="14">
        <f t="shared" si="0"/>
        <v>0.55450159999999993</v>
      </c>
      <c r="AG24" s="11" t="s">
        <v>79</v>
      </c>
    </row>
    <row r="25" spans="1:33" x14ac:dyDescent="0.2">
      <c r="A25" s="8">
        <v>7438</v>
      </c>
      <c r="B25" s="9" t="s">
        <v>116</v>
      </c>
      <c r="C25" s="10">
        <v>43432</v>
      </c>
      <c r="D25" s="11">
        <v>120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121</v>
      </c>
      <c r="J25" s="12" t="s">
        <v>122</v>
      </c>
      <c r="K25" s="13" t="s">
        <v>49</v>
      </c>
      <c r="L25" s="11" t="str">
        <f>"000136"</f>
        <v>000136</v>
      </c>
      <c r="M25" s="10">
        <v>43357</v>
      </c>
      <c r="N25" s="11" t="str">
        <f>"000038"</f>
        <v>000038</v>
      </c>
      <c r="O25" s="10">
        <v>43357</v>
      </c>
      <c r="P25" s="11" t="str">
        <f>"000133"</f>
        <v>000133</v>
      </c>
      <c r="Q25" s="10">
        <v>43357</v>
      </c>
      <c r="R25" s="11">
        <v>17</v>
      </c>
      <c r="S25" s="11" t="str">
        <f>"007599"</f>
        <v>007599</v>
      </c>
      <c r="T25" s="10">
        <v>43431</v>
      </c>
      <c r="U25" s="14">
        <v>41.160350000000001</v>
      </c>
      <c r="V25" s="14">
        <v>1.5694699999999999</v>
      </c>
      <c r="W25" s="14">
        <v>39.590879999999999</v>
      </c>
      <c r="X25" s="11">
        <v>277</v>
      </c>
      <c r="Y25" s="10">
        <v>43432</v>
      </c>
      <c r="Z25" s="11">
        <v>9844753608</v>
      </c>
      <c r="AA25" s="12" t="s">
        <v>123</v>
      </c>
      <c r="AB25" s="11" t="s">
        <v>124</v>
      </c>
      <c r="AC25" s="12" t="s">
        <v>125</v>
      </c>
      <c r="AD25" s="11" t="s">
        <v>44</v>
      </c>
      <c r="AE25" s="12" t="s">
        <v>45</v>
      </c>
      <c r="AF25" s="14">
        <f t="shared" si="0"/>
        <v>0.41160350000000001</v>
      </c>
      <c r="AG25" s="11" t="s">
        <v>79</v>
      </c>
    </row>
    <row r="26" spans="1:33" x14ac:dyDescent="0.2">
      <c r="A26" s="8">
        <v>7543</v>
      </c>
      <c r="B26" s="9" t="s">
        <v>126</v>
      </c>
      <c r="C26" s="10">
        <v>43437</v>
      </c>
      <c r="D26" s="11">
        <v>120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127</v>
      </c>
      <c r="J26" s="12" t="s">
        <v>128</v>
      </c>
      <c r="K26" s="13" t="s">
        <v>56</v>
      </c>
      <c r="L26" s="11" t="str">
        <f>"000206"</f>
        <v>000206</v>
      </c>
      <c r="M26" s="10">
        <v>42843</v>
      </c>
      <c r="N26" s="11" t="str">
        <f>"000.12"</f>
        <v>000.12</v>
      </c>
      <c r="O26" s="10">
        <v>42882</v>
      </c>
      <c r="P26" s="11" t="str">
        <f>"000162"</f>
        <v>000162</v>
      </c>
      <c r="Q26" s="10">
        <v>42882</v>
      </c>
      <c r="R26" s="11">
        <v>17</v>
      </c>
      <c r="S26" s="11" t="str">
        <f>"007377"</f>
        <v>007377</v>
      </c>
      <c r="T26" s="10">
        <v>43420</v>
      </c>
      <c r="U26" s="14">
        <v>8.7939799999999995</v>
      </c>
      <c r="V26" s="14">
        <v>1.0576300000000001</v>
      </c>
      <c r="W26" s="14">
        <v>7.7363499999999998</v>
      </c>
      <c r="X26" s="11">
        <v>279</v>
      </c>
      <c r="Y26" s="10">
        <v>43437</v>
      </c>
      <c r="Z26" s="11">
        <v>9945417770</v>
      </c>
      <c r="AA26" s="12" t="s">
        <v>67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f t="shared" si="0"/>
        <v>8.7939799999999999E-2</v>
      </c>
      <c r="AG26" s="11" t="s">
        <v>46</v>
      </c>
    </row>
    <row r="27" spans="1:33" x14ac:dyDescent="0.2">
      <c r="A27" s="8">
        <v>7679</v>
      </c>
      <c r="B27" s="9" t="s">
        <v>126</v>
      </c>
      <c r="C27" s="10">
        <v>43447</v>
      </c>
      <c r="D27" s="11">
        <v>120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129</v>
      </c>
      <c r="J27" s="12" t="s">
        <v>130</v>
      </c>
      <c r="K27" s="13" t="s">
        <v>40</v>
      </c>
      <c r="L27" s="11" t="str">
        <f>"000162"</f>
        <v>000162</v>
      </c>
      <c r="M27" s="10">
        <v>43417</v>
      </c>
      <c r="N27" s="11" t="str">
        <f>"000047"</f>
        <v>000047</v>
      </c>
      <c r="O27" s="10">
        <v>43417</v>
      </c>
      <c r="P27" s="11" t="str">
        <f>"000162"</f>
        <v>000162</v>
      </c>
      <c r="Q27" s="10">
        <v>43417</v>
      </c>
      <c r="R27" s="11">
        <v>18</v>
      </c>
      <c r="S27" s="11" t="str">
        <f>"007935"</f>
        <v>007935</v>
      </c>
      <c r="T27" s="10">
        <v>43447</v>
      </c>
      <c r="U27" s="14">
        <v>109.85193</v>
      </c>
      <c r="V27" s="14">
        <v>13.07915</v>
      </c>
      <c r="W27" s="14">
        <v>96.772779999999997</v>
      </c>
      <c r="X27" s="11">
        <v>289</v>
      </c>
      <c r="Y27" s="10">
        <v>43447</v>
      </c>
      <c r="Z27" s="11">
        <v>9483161122</v>
      </c>
      <c r="AA27" s="12" t="s">
        <v>104</v>
      </c>
      <c r="AB27" s="11" t="s">
        <v>124</v>
      </c>
      <c r="AC27" s="12" t="s">
        <v>125</v>
      </c>
      <c r="AD27" s="11" t="s">
        <v>44</v>
      </c>
      <c r="AE27" s="12" t="s">
        <v>45</v>
      </c>
      <c r="AF27" s="14">
        <f t="shared" si="0"/>
        <v>1.0985193</v>
      </c>
      <c r="AG27" s="11" t="s">
        <v>79</v>
      </c>
    </row>
    <row r="28" spans="1:33" x14ac:dyDescent="0.2">
      <c r="A28" s="8">
        <v>8036</v>
      </c>
      <c r="B28" s="9" t="s">
        <v>126</v>
      </c>
      <c r="C28" s="10">
        <v>43455</v>
      </c>
      <c r="D28" s="11">
        <v>120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131</v>
      </c>
      <c r="J28" s="12" t="s">
        <v>132</v>
      </c>
      <c r="K28" s="13" t="s">
        <v>40</v>
      </c>
      <c r="L28" s="11" t="str">
        <f>"000205"</f>
        <v>000205</v>
      </c>
      <c r="M28" s="10">
        <v>42843</v>
      </c>
      <c r="N28" s="11" t="str">
        <f>"0000.2"</f>
        <v>0000.2</v>
      </c>
      <c r="O28" s="10">
        <v>42895</v>
      </c>
      <c r="P28" s="11" t="str">
        <f>"000201"</f>
        <v>000201</v>
      </c>
      <c r="Q28" s="10">
        <v>42895</v>
      </c>
      <c r="R28" s="11">
        <v>17</v>
      </c>
      <c r="S28" s="11" t="str">
        <f>"008114"</f>
        <v>008114</v>
      </c>
      <c r="T28" s="10">
        <v>43454</v>
      </c>
      <c r="U28" s="14">
        <v>7.9756099999999996</v>
      </c>
      <c r="V28" s="14">
        <v>0.95504</v>
      </c>
      <c r="W28" s="14">
        <v>7.0205700000000002</v>
      </c>
      <c r="X28" s="11">
        <v>301</v>
      </c>
      <c r="Y28" s="10">
        <v>43455</v>
      </c>
      <c r="Z28" s="11">
        <v>9945417770</v>
      </c>
      <c r="AA28" s="12" t="s">
        <v>67</v>
      </c>
      <c r="AB28" s="11" t="s">
        <v>42</v>
      </c>
      <c r="AC28" s="12" t="s">
        <v>43</v>
      </c>
      <c r="AD28" s="11" t="s">
        <v>44</v>
      </c>
      <c r="AE28" s="12" t="s">
        <v>45</v>
      </c>
      <c r="AF28" s="14">
        <f t="shared" si="0"/>
        <v>7.9756099999999996E-2</v>
      </c>
      <c r="AG28" s="11" t="s">
        <v>46</v>
      </c>
    </row>
    <row r="29" spans="1:33" x14ac:dyDescent="0.2">
      <c r="A29" s="8">
        <v>8037</v>
      </c>
      <c r="B29" s="9" t="s">
        <v>126</v>
      </c>
      <c r="C29" s="10">
        <v>43455</v>
      </c>
      <c r="D29" s="11">
        <v>120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133</v>
      </c>
      <c r="J29" s="12" t="s">
        <v>134</v>
      </c>
      <c r="K29" s="13" t="s">
        <v>40</v>
      </c>
      <c r="L29" s="11" t="str">
        <f>"000201"</f>
        <v>000201</v>
      </c>
      <c r="M29" s="10">
        <v>42843</v>
      </c>
      <c r="N29" s="11" t="str">
        <f>"0000.3"</f>
        <v>0000.3</v>
      </c>
      <c r="O29" s="10">
        <v>42895</v>
      </c>
      <c r="P29" s="11" t="str">
        <f>"000202"</f>
        <v>000202</v>
      </c>
      <c r="Q29" s="10">
        <v>42895</v>
      </c>
      <c r="R29" s="11">
        <v>17</v>
      </c>
      <c r="S29" s="11" t="str">
        <f>"008115"</f>
        <v>008115</v>
      </c>
      <c r="T29" s="10">
        <v>43454</v>
      </c>
      <c r="U29" s="14">
        <v>8.7887900000000005</v>
      </c>
      <c r="V29" s="14">
        <v>1.0596300000000001</v>
      </c>
      <c r="W29" s="14">
        <v>7.7291600000000003</v>
      </c>
      <c r="X29" s="11">
        <v>301</v>
      </c>
      <c r="Y29" s="10">
        <v>43455</v>
      </c>
      <c r="Z29" s="11">
        <v>9945417770</v>
      </c>
      <c r="AA29" s="12" t="s">
        <v>67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f t="shared" si="0"/>
        <v>8.7887900000000005E-2</v>
      </c>
      <c r="AG29" s="11" t="s">
        <v>46</v>
      </c>
    </row>
    <row r="30" spans="1:33" x14ac:dyDescent="0.2">
      <c r="A30" s="8">
        <v>8038</v>
      </c>
      <c r="B30" s="9" t="s">
        <v>126</v>
      </c>
      <c r="C30" s="10">
        <v>43455</v>
      </c>
      <c r="D30" s="11">
        <v>120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135</v>
      </c>
      <c r="J30" s="12" t="s">
        <v>136</v>
      </c>
      <c r="K30" s="13" t="s">
        <v>40</v>
      </c>
      <c r="L30" s="11" t="str">
        <f>"000204"</f>
        <v>000204</v>
      </c>
      <c r="M30" s="10">
        <v>42843</v>
      </c>
      <c r="N30" s="11" t="str">
        <f>"0000.4"</f>
        <v>0000.4</v>
      </c>
      <c r="O30" s="10">
        <v>42895</v>
      </c>
      <c r="P30" s="11" t="str">
        <f>"000203"</f>
        <v>000203</v>
      </c>
      <c r="Q30" s="10">
        <v>42895</v>
      </c>
      <c r="R30" s="11">
        <v>17</v>
      </c>
      <c r="S30" s="11" t="str">
        <f>"008116"</f>
        <v>008116</v>
      </c>
      <c r="T30" s="10">
        <v>43454</v>
      </c>
      <c r="U30" s="14">
        <v>8.60684</v>
      </c>
      <c r="V30" s="14">
        <v>1.04139</v>
      </c>
      <c r="W30" s="14">
        <v>7.5654500000000002</v>
      </c>
      <c r="X30" s="11">
        <v>301</v>
      </c>
      <c r="Y30" s="10">
        <v>43455</v>
      </c>
      <c r="Z30" s="11">
        <v>9945417770</v>
      </c>
      <c r="AA30" s="12" t="s">
        <v>67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f t="shared" si="0"/>
        <v>8.6068400000000003E-2</v>
      </c>
      <c r="AG30" s="11" t="s">
        <v>46</v>
      </c>
    </row>
    <row r="31" spans="1:33" x14ac:dyDescent="0.2">
      <c r="A31" s="8">
        <v>8039</v>
      </c>
      <c r="B31" s="9" t="s">
        <v>126</v>
      </c>
      <c r="C31" s="10">
        <v>43455</v>
      </c>
      <c r="D31" s="11">
        <v>120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137</v>
      </c>
      <c r="J31" s="12" t="s">
        <v>138</v>
      </c>
      <c r="K31" s="13" t="s">
        <v>40</v>
      </c>
      <c r="L31" s="11" t="str">
        <f>"000200"</f>
        <v>000200</v>
      </c>
      <c r="M31" s="10">
        <v>42843</v>
      </c>
      <c r="N31" s="11" t="str">
        <f>"0000.5"</f>
        <v>0000.5</v>
      </c>
      <c r="O31" s="10">
        <v>42895</v>
      </c>
      <c r="P31" s="11" t="str">
        <f>"000212"</f>
        <v>000212</v>
      </c>
      <c r="Q31" s="10">
        <v>42895</v>
      </c>
      <c r="R31" s="11">
        <v>17</v>
      </c>
      <c r="S31" s="11" t="str">
        <f>"008125"</f>
        <v>008125</v>
      </c>
      <c r="T31" s="10">
        <v>43454</v>
      </c>
      <c r="U31" s="14">
        <v>8.7591800000000006</v>
      </c>
      <c r="V31" s="14">
        <v>1.06168</v>
      </c>
      <c r="W31" s="14">
        <v>7.6974999999999998</v>
      </c>
      <c r="X31" s="11">
        <v>301</v>
      </c>
      <c r="Y31" s="10">
        <v>43455</v>
      </c>
      <c r="Z31" s="11">
        <v>9945417770</v>
      </c>
      <c r="AA31" s="12" t="s">
        <v>67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0"/>
        <v>8.7591800000000011E-2</v>
      </c>
      <c r="AG31" s="11" t="s">
        <v>46</v>
      </c>
    </row>
    <row r="32" spans="1:33" x14ac:dyDescent="0.2">
      <c r="A32" s="8">
        <v>8040</v>
      </c>
      <c r="B32" s="9" t="s">
        <v>126</v>
      </c>
      <c r="C32" s="10">
        <v>43455</v>
      </c>
      <c r="D32" s="11">
        <v>120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139</v>
      </c>
      <c r="J32" s="12" t="s">
        <v>140</v>
      </c>
      <c r="K32" s="13" t="s">
        <v>56</v>
      </c>
      <c r="L32" s="11" t="str">
        <f>"00.205"</f>
        <v>00.205</v>
      </c>
      <c r="M32" s="10">
        <v>42843</v>
      </c>
      <c r="N32" s="11" t="str">
        <f>"000.11"</f>
        <v>000.11</v>
      </c>
      <c r="O32" s="10">
        <v>42895</v>
      </c>
      <c r="P32" s="11" t="str">
        <f>"000213"</f>
        <v>000213</v>
      </c>
      <c r="Q32" s="10">
        <v>42895</v>
      </c>
      <c r="R32" s="11">
        <v>17</v>
      </c>
      <c r="S32" s="11" t="str">
        <f>"008126"</f>
        <v>008126</v>
      </c>
      <c r="T32" s="10">
        <v>43454</v>
      </c>
      <c r="U32" s="14">
        <v>8.7644300000000008</v>
      </c>
      <c r="V32" s="14">
        <v>1.0543</v>
      </c>
      <c r="W32" s="14">
        <v>7.7101300000000004</v>
      </c>
      <c r="X32" s="11">
        <v>301</v>
      </c>
      <c r="Y32" s="10">
        <v>43455</v>
      </c>
      <c r="Z32" s="11">
        <v>9945417770</v>
      </c>
      <c r="AA32" s="12" t="s">
        <v>67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f t="shared" si="0"/>
        <v>8.7644300000000008E-2</v>
      </c>
      <c r="AG32" s="11" t="s">
        <v>46</v>
      </c>
    </row>
    <row r="33" spans="1:33" x14ac:dyDescent="0.2">
      <c r="A33" s="8">
        <v>8041</v>
      </c>
      <c r="B33" s="9" t="s">
        <v>126</v>
      </c>
      <c r="C33" s="10">
        <v>43455</v>
      </c>
      <c r="D33" s="11">
        <v>120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141</v>
      </c>
      <c r="J33" s="12" t="s">
        <v>142</v>
      </c>
      <c r="K33" s="13" t="s">
        <v>56</v>
      </c>
      <c r="L33" s="11" t="str">
        <f>"00.199"</f>
        <v>00.199</v>
      </c>
      <c r="M33" s="10">
        <v>42843</v>
      </c>
      <c r="N33" s="11" t="str">
        <f>"000.10"</f>
        <v>000.10</v>
      </c>
      <c r="O33" s="10">
        <v>42895</v>
      </c>
      <c r="P33" s="11" t="str">
        <f>"000214"</f>
        <v>000214</v>
      </c>
      <c r="Q33" s="10">
        <v>42895</v>
      </c>
      <c r="R33" s="11">
        <v>17</v>
      </c>
      <c r="S33" s="11" t="str">
        <f>"008127"</f>
        <v>008127</v>
      </c>
      <c r="T33" s="10">
        <v>43454</v>
      </c>
      <c r="U33" s="14">
        <v>8.7684300000000004</v>
      </c>
      <c r="V33" s="14">
        <v>1.0432900000000001</v>
      </c>
      <c r="W33" s="14">
        <v>7.7251399999999997</v>
      </c>
      <c r="X33" s="11">
        <v>301</v>
      </c>
      <c r="Y33" s="10">
        <v>43455</v>
      </c>
      <c r="Z33" s="11">
        <v>9945417770</v>
      </c>
      <c r="AA33" s="12" t="s">
        <v>67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f t="shared" si="0"/>
        <v>8.7684300000000007E-2</v>
      </c>
      <c r="AG33" s="11" t="s">
        <v>46</v>
      </c>
    </row>
    <row r="34" spans="1:33" x14ac:dyDescent="0.2">
      <c r="A34" s="8">
        <v>8042</v>
      </c>
      <c r="B34" s="9" t="s">
        <v>126</v>
      </c>
      <c r="C34" s="10">
        <v>43455</v>
      </c>
      <c r="D34" s="11">
        <v>120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143</v>
      </c>
      <c r="J34" s="12" t="s">
        <v>144</v>
      </c>
      <c r="K34" s="13" t="s">
        <v>40</v>
      </c>
      <c r="L34" s="11" t="str">
        <f>"000176"</f>
        <v>000176</v>
      </c>
      <c r="M34" s="10">
        <v>42803</v>
      </c>
      <c r="N34" s="11" t="str">
        <f>"0000.6"</f>
        <v>0000.6</v>
      </c>
      <c r="O34" s="10">
        <v>42895</v>
      </c>
      <c r="P34" s="11" t="str">
        <f>"000215"</f>
        <v>000215</v>
      </c>
      <c r="Q34" s="10">
        <v>42895</v>
      </c>
      <c r="R34" s="11">
        <v>17</v>
      </c>
      <c r="S34" s="11" t="str">
        <f>"008128"</f>
        <v>008128</v>
      </c>
      <c r="T34" s="10">
        <v>43454</v>
      </c>
      <c r="U34" s="14">
        <v>8.7448599999999992</v>
      </c>
      <c r="V34" s="14">
        <v>1.05904</v>
      </c>
      <c r="W34" s="14">
        <v>7.6858199999999997</v>
      </c>
      <c r="X34" s="11">
        <v>301</v>
      </c>
      <c r="Y34" s="10">
        <v>43455</v>
      </c>
      <c r="Z34" s="11">
        <v>9945417770</v>
      </c>
      <c r="AA34" s="12" t="s">
        <v>67</v>
      </c>
      <c r="AB34" s="11" t="s">
        <v>42</v>
      </c>
      <c r="AC34" s="12" t="s">
        <v>43</v>
      </c>
      <c r="AD34" s="11" t="s">
        <v>44</v>
      </c>
      <c r="AE34" s="12" t="s">
        <v>45</v>
      </c>
      <c r="AF34" s="14">
        <f t="shared" si="0"/>
        <v>8.7448599999999987E-2</v>
      </c>
      <c r="AG34" s="11" t="s">
        <v>46</v>
      </c>
    </row>
    <row r="35" spans="1:33" x14ac:dyDescent="0.2">
      <c r="A35" s="8">
        <v>8088</v>
      </c>
      <c r="B35" s="9" t="s">
        <v>126</v>
      </c>
      <c r="C35" s="10">
        <v>43461</v>
      </c>
      <c r="D35" s="11">
        <v>120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145</v>
      </c>
      <c r="J35" s="12" t="s">
        <v>146</v>
      </c>
      <c r="K35" s="13" t="s">
        <v>56</v>
      </c>
      <c r="L35" s="11" t="str">
        <f>"000034"</f>
        <v>000034</v>
      </c>
      <c r="M35" s="10">
        <v>43337</v>
      </c>
      <c r="N35" s="11" t="str">
        <f>"000132"</f>
        <v>000132</v>
      </c>
      <c r="O35" s="10">
        <v>43419</v>
      </c>
      <c r="P35" s="11" t="str">
        <f>"000130"</f>
        <v>000130</v>
      </c>
      <c r="Q35" s="10">
        <v>43419</v>
      </c>
      <c r="R35" s="11">
        <v>18</v>
      </c>
      <c r="S35" s="11" t="str">
        <f>"008227"</f>
        <v>008227</v>
      </c>
      <c r="T35" s="10">
        <v>43456</v>
      </c>
      <c r="U35" s="14">
        <v>9.9119299999999999</v>
      </c>
      <c r="V35" s="14">
        <v>1.0512699999999999</v>
      </c>
      <c r="W35" s="14">
        <v>8.8606599999999993</v>
      </c>
      <c r="X35" s="11">
        <v>305</v>
      </c>
      <c r="Y35" s="10">
        <v>43461</v>
      </c>
      <c r="Z35" s="11">
        <v>9964168613</v>
      </c>
      <c r="AA35" s="12" t="s">
        <v>147</v>
      </c>
      <c r="AB35" s="11" t="s">
        <v>148</v>
      </c>
      <c r="AC35" s="12" t="s">
        <v>149</v>
      </c>
      <c r="AD35" s="11" t="s">
        <v>58</v>
      </c>
      <c r="AE35" s="12" t="s">
        <v>59</v>
      </c>
      <c r="AF35" s="14">
        <f t="shared" si="0"/>
        <v>9.9119299999999994E-2</v>
      </c>
      <c r="AG35" s="11" t="s">
        <v>79</v>
      </c>
    </row>
    <row r="36" spans="1:33" x14ac:dyDescent="0.2">
      <c r="A36" s="8">
        <v>9162</v>
      </c>
      <c r="B36" s="9" t="s">
        <v>150</v>
      </c>
      <c r="C36" s="10">
        <v>43508</v>
      </c>
      <c r="D36" s="11">
        <v>120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151</v>
      </c>
      <c r="J36" s="12" t="s">
        <v>152</v>
      </c>
      <c r="K36" s="13" t="s">
        <v>40</v>
      </c>
      <c r="L36" s="11" t="str">
        <f>"000039"</f>
        <v>000039</v>
      </c>
      <c r="M36" s="10">
        <v>42111</v>
      </c>
      <c r="N36" s="11" t="str">
        <f>"0000.1"</f>
        <v>0000.1</v>
      </c>
      <c r="O36" s="10">
        <v>42915</v>
      </c>
      <c r="P36" s="11" t="str">
        <f>"000257"</f>
        <v>000257</v>
      </c>
      <c r="Q36" s="10">
        <v>42915</v>
      </c>
      <c r="R36" s="11"/>
      <c r="S36" s="11" t="str">
        <f>"009208"</f>
        <v>009208</v>
      </c>
      <c r="T36" s="10">
        <v>43503</v>
      </c>
      <c r="U36" s="14">
        <v>14.684340000000001</v>
      </c>
      <c r="V36" s="14">
        <v>1.9861800000000001</v>
      </c>
      <c r="W36" s="14">
        <v>12.69816</v>
      </c>
      <c r="X36" s="11">
        <v>349</v>
      </c>
      <c r="Y36" s="10">
        <v>43508</v>
      </c>
      <c r="Z36" s="11">
        <v>9945417770</v>
      </c>
      <c r="AA36" s="12" t="s">
        <v>107</v>
      </c>
      <c r="AB36" s="11" t="s">
        <v>42</v>
      </c>
      <c r="AC36" s="12" t="s">
        <v>43</v>
      </c>
      <c r="AD36" s="11" t="s">
        <v>44</v>
      </c>
      <c r="AE36" s="12" t="s">
        <v>45</v>
      </c>
      <c r="AF36" s="14">
        <f t="shared" si="0"/>
        <v>0.14684340000000001</v>
      </c>
      <c r="AG36" s="11" t="s">
        <v>46</v>
      </c>
    </row>
    <row r="37" spans="1:33" x14ac:dyDescent="0.2">
      <c r="A37" s="8">
        <v>9470</v>
      </c>
      <c r="B37" s="9" t="s">
        <v>153</v>
      </c>
      <c r="C37" s="10">
        <v>43530</v>
      </c>
      <c r="D37" s="11">
        <v>120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154</v>
      </c>
      <c r="J37" s="12" t="s">
        <v>155</v>
      </c>
      <c r="K37" s="15" t="s">
        <v>156</v>
      </c>
      <c r="L37" s="11" t="str">
        <f>"000228"</f>
        <v>000228</v>
      </c>
      <c r="M37" s="10">
        <v>43476</v>
      </c>
      <c r="N37" s="11" t="str">
        <f>"000060"</f>
        <v>000060</v>
      </c>
      <c r="O37" s="10">
        <v>43476</v>
      </c>
      <c r="P37" s="11" t="str">
        <f>"000221"</f>
        <v>000221</v>
      </c>
      <c r="Q37" s="10">
        <v>43476</v>
      </c>
      <c r="R37" s="11"/>
      <c r="S37" s="11" t="str">
        <f>"009504"</f>
        <v>009504</v>
      </c>
      <c r="T37" s="10">
        <v>43525</v>
      </c>
      <c r="U37" s="14">
        <v>6.5410000000000004</v>
      </c>
      <c r="V37" s="14">
        <v>0.65483000000000002</v>
      </c>
      <c r="W37" s="14">
        <v>5.8861699999999999</v>
      </c>
      <c r="X37" s="11">
        <v>368</v>
      </c>
      <c r="Y37" s="10">
        <v>43530</v>
      </c>
      <c r="Z37" s="11">
        <v>9611961166</v>
      </c>
      <c r="AA37" s="12" t="s">
        <v>157</v>
      </c>
      <c r="AB37" s="11" t="s">
        <v>158</v>
      </c>
      <c r="AC37" s="12" t="s">
        <v>159</v>
      </c>
      <c r="AD37" s="11" t="s">
        <v>44</v>
      </c>
      <c r="AE37" s="12" t="s">
        <v>45</v>
      </c>
      <c r="AF37" s="14">
        <f t="shared" si="0"/>
        <v>6.541000000000001E-2</v>
      </c>
      <c r="AG37" s="11" t="s">
        <v>79</v>
      </c>
    </row>
    <row r="38" spans="1:33" x14ac:dyDescent="0.2">
      <c r="A38" s="8">
        <v>9612</v>
      </c>
      <c r="B38" s="9" t="s">
        <v>153</v>
      </c>
      <c r="C38" s="10">
        <v>43535</v>
      </c>
      <c r="D38" s="11">
        <v>120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160</v>
      </c>
      <c r="J38" s="12" t="s">
        <v>161</v>
      </c>
      <c r="K38" s="13" t="s">
        <v>40</v>
      </c>
      <c r="L38" s="11" t="str">
        <f>"000268"</f>
        <v>000268</v>
      </c>
      <c r="M38" s="10">
        <v>43518</v>
      </c>
      <c r="N38" s="11" t="str">
        <f>"000081"</f>
        <v>000081</v>
      </c>
      <c r="O38" s="10">
        <v>43518</v>
      </c>
      <c r="P38" s="11" t="str">
        <f>"000263"</f>
        <v>000263</v>
      </c>
      <c r="Q38" s="10">
        <v>43518</v>
      </c>
      <c r="R38" s="11"/>
      <c r="S38" s="11" t="str">
        <f>"009641"</f>
        <v>009641</v>
      </c>
      <c r="T38" s="10">
        <v>43531</v>
      </c>
      <c r="U38" s="14">
        <v>109.85102999999999</v>
      </c>
      <c r="V38" s="14">
        <v>13.026249999999999</v>
      </c>
      <c r="W38" s="14">
        <v>96.824780000000004</v>
      </c>
      <c r="X38" s="11">
        <v>372</v>
      </c>
      <c r="Y38" s="10">
        <v>43535</v>
      </c>
      <c r="Z38" s="11">
        <v>9483161122</v>
      </c>
      <c r="AA38" s="12" t="s">
        <v>104</v>
      </c>
      <c r="AB38" s="11" t="s">
        <v>124</v>
      </c>
      <c r="AC38" s="12" t="s">
        <v>125</v>
      </c>
      <c r="AD38" s="11" t="s">
        <v>44</v>
      </c>
      <c r="AE38" s="12" t="s">
        <v>45</v>
      </c>
      <c r="AF38" s="14">
        <f t="shared" si="0"/>
        <v>1.0985103000000001</v>
      </c>
      <c r="AG38" s="11" t="s">
        <v>79</v>
      </c>
    </row>
    <row r="39" spans="1:33" x14ac:dyDescent="0.2">
      <c r="A39" s="8">
        <v>9613</v>
      </c>
      <c r="B39" s="9" t="s">
        <v>153</v>
      </c>
      <c r="C39" s="10">
        <v>43535</v>
      </c>
      <c r="D39" s="11">
        <v>120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162</v>
      </c>
      <c r="J39" s="12" t="s">
        <v>163</v>
      </c>
      <c r="K39" s="13" t="s">
        <v>40</v>
      </c>
      <c r="L39" s="11" t="str">
        <f>"000274"</f>
        <v>000274</v>
      </c>
      <c r="M39" s="10">
        <v>43529</v>
      </c>
      <c r="N39" s="11" t="str">
        <f>"000086"</f>
        <v>000086</v>
      </c>
      <c r="O39" s="10">
        <v>43529</v>
      </c>
      <c r="P39" s="11" t="str">
        <f>"000268"</f>
        <v>000268</v>
      </c>
      <c r="Q39" s="10">
        <v>43529</v>
      </c>
      <c r="R39" s="11"/>
      <c r="S39" s="11" t="str">
        <f>"009642"</f>
        <v>009642</v>
      </c>
      <c r="T39" s="10">
        <v>43532</v>
      </c>
      <c r="U39" s="14">
        <v>77.642780000000002</v>
      </c>
      <c r="V39" s="14">
        <v>9.1735900000000008</v>
      </c>
      <c r="W39" s="14">
        <v>68.469189999999998</v>
      </c>
      <c r="X39" s="11">
        <v>372</v>
      </c>
      <c r="Y39" s="10">
        <v>43535</v>
      </c>
      <c r="Z39" s="11">
        <v>1234567890</v>
      </c>
      <c r="AA39" s="12" t="s">
        <v>104</v>
      </c>
      <c r="AB39" s="11" t="s">
        <v>124</v>
      </c>
      <c r="AC39" s="12" t="s">
        <v>125</v>
      </c>
      <c r="AD39" s="11" t="s">
        <v>44</v>
      </c>
      <c r="AE39" s="12" t="s">
        <v>45</v>
      </c>
      <c r="AF39" s="14">
        <f t="shared" si="0"/>
        <v>0.7764278</v>
      </c>
      <c r="AG39" s="11" t="s">
        <v>79</v>
      </c>
    </row>
    <row r="40" spans="1:33" x14ac:dyDescent="0.2">
      <c r="A40" s="8">
        <v>9616</v>
      </c>
      <c r="B40" s="9" t="s">
        <v>153</v>
      </c>
      <c r="C40" s="10">
        <v>43535</v>
      </c>
      <c r="D40" s="11">
        <v>120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164</v>
      </c>
      <c r="J40" s="12" t="s">
        <v>165</v>
      </c>
      <c r="K40" s="13" t="s">
        <v>56</v>
      </c>
      <c r="L40" s="11" t="str">
        <f>"000273"</f>
        <v>000273</v>
      </c>
      <c r="M40" s="10">
        <v>43529</v>
      </c>
      <c r="N40" s="11" t="str">
        <f>"000084"</f>
        <v>000084</v>
      </c>
      <c r="O40" s="10">
        <v>43529</v>
      </c>
      <c r="P40" s="11" t="str">
        <f>"000267"</f>
        <v>000267</v>
      </c>
      <c r="Q40" s="10">
        <v>43529</v>
      </c>
      <c r="R40" s="11"/>
      <c r="S40" s="11" t="str">
        <f>"009645"</f>
        <v>009645</v>
      </c>
      <c r="T40" s="10">
        <v>43532</v>
      </c>
      <c r="U40" s="14">
        <v>153.83555000000001</v>
      </c>
      <c r="V40" s="14">
        <v>18.12763</v>
      </c>
      <c r="W40" s="14">
        <v>135.70792</v>
      </c>
      <c r="X40" s="11">
        <v>372</v>
      </c>
      <c r="Y40" s="10">
        <v>43535</v>
      </c>
      <c r="Z40" s="11">
        <v>9483161122</v>
      </c>
      <c r="AA40" s="12" t="s">
        <v>104</v>
      </c>
      <c r="AB40" s="11" t="s">
        <v>124</v>
      </c>
      <c r="AC40" s="12" t="s">
        <v>125</v>
      </c>
      <c r="AD40" s="11" t="s">
        <v>44</v>
      </c>
      <c r="AE40" s="12" t="s">
        <v>45</v>
      </c>
      <c r="AF40" s="14">
        <f t="shared" si="0"/>
        <v>1.5383555000000002</v>
      </c>
      <c r="AG40" s="11" t="s">
        <v>79</v>
      </c>
    </row>
    <row r="41" spans="1:33" x14ac:dyDescent="0.2">
      <c r="A41" s="8">
        <v>9617</v>
      </c>
      <c r="B41" s="9" t="s">
        <v>153</v>
      </c>
      <c r="C41" s="10">
        <v>43535</v>
      </c>
      <c r="D41" s="11">
        <v>120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166</v>
      </c>
      <c r="J41" s="12" t="s">
        <v>167</v>
      </c>
      <c r="K41" s="13" t="s">
        <v>40</v>
      </c>
      <c r="L41" s="11" t="str">
        <f>"000275"</f>
        <v>000275</v>
      </c>
      <c r="M41" s="10">
        <v>43529</v>
      </c>
      <c r="N41" s="11" t="str">
        <f>"000087"</f>
        <v>000087</v>
      </c>
      <c r="O41" s="10">
        <v>43529</v>
      </c>
      <c r="P41" s="11" t="str">
        <f>"000269"</f>
        <v>000269</v>
      </c>
      <c r="Q41" s="10">
        <v>43529</v>
      </c>
      <c r="R41" s="11"/>
      <c r="S41" s="11" t="str">
        <f>"009646"</f>
        <v>009646</v>
      </c>
      <c r="T41" s="10">
        <v>43532</v>
      </c>
      <c r="U41" s="14">
        <v>153.78986</v>
      </c>
      <c r="V41" s="14">
        <v>18.117629999999998</v>
      </c>
      <c r="W41" s="14">
        <v>135.67223000000001</v>
      </c>
      <c r="X41" s="11">
        <v>372</v>
      </c>
      <c r="Y41" s="10">
        <v>43535</v>
      </c>
      <c r="Z41" s="11">
        <v>9483161122</v>
      </c>
      <c r="AA41" s="12" t="s">
        <v>104</v>
      </c>
      <c r="AB41" s="11" t="s">
        <v>124</v>
      </c>
      <c r="AC41" s="12" t="s">
        <v>125</v>
      </c>
      <c r="AD41" s="11" t="s">
        <v>44</v>
      </c>
      <c r="AE41" s="12" t="s">
        <v>45</v>
      </c>
      <c r="AF41" s="14">
        <f t="shared" si="0"/>
        <v>1.5378986000000001</v>
      </c>
      <c r="AG41" s="11" t="s">
        <v>79</v>
      </c>
    </row>
    <row r="42" spans="1:33" x14ac:dyDescent="0.2">
      <c r="A42" s="8">
        <v>9796</v>
      </c>
      <c r="B42" s="9" t="s">
        <v>153</v>
      </c>
      <c r="C42" s="10">
        <v>43544</v>
      </c>
      <c r="D42" s="11">
        <v>120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168</v>
      </c>
      <c r="J42" s="12" t="s">
        <v>169</v>
      </c>
      <c r="K42" s="13" t="s">
        <v>40</v>
      </c>
      <c r="L42" s="11" t="str">
        <f>"000282"</f>
        <v>000282</v>
      </c>
      <c r="M42" s="10">
        <v>43537</v>
      </c>
      <c r="N42" s="11" t="str">
        <f>"000092"</f>
        <v>000092</v>
      </c>
      <c r="O42" s="10">
        <v>43537</v>
      </c>
      <c r="P42" s="11" t="str">
        <f>"000275"</f>
        <v>000275</v>
      </c>
      <c r="Q42" s="10">
        <v>43537</v>
      </c>
      <c r="R42" s="11"/>
      <c r="S42" s="11" t="str">
        <f>"009863"</f>
        <v>009863</v>
      </c>
      <c r="T42" s="10">
        <v>43544</v>
      </c>
      <c r="U42" s="14">
        <v>66.520240000000001</v>
      </c>
      <c r="V42" s="14">
        <v>7.8528700000000002</v>
      </c>
      <c r="W42" s="14">
        <v>58.667369999999998</v>
      </c>
      <c r="X42" s="11">
        <v>381</v>
      </c>
      <c r="Y42" s="10">
        <v>43544</v>
      </c>
      <c r="Z42" s="11">
        <v>9483161122</v>
      </c>
      <c r="AA42" s="12" t="s">
        <v>104</v>
      </c>
      <c r="AB42" s="11" t="s">
        <v>170</v>
      </c>
      <c r="AC42" s="12" t="s">
        <v>171</v>
      </c>
      <c r="AD42" s="11" t="s">
        <v>44</v>
      </c>
      <c r="AE42" s="12" t="s">
        <v>45</v>
      </c>
      <c r="AF42" s="14">
        <f t="shared" si="0"/>
        <v>0.66520239999999997</v>
      </c>
      <c r="AG42" s="11" t="s">
        <v>79</v>
      </c>
    </row>
    <row r="43" spans="1:33" x14ac:dyDescent="0.2">
      <c r="A43" s="8">
        <v>9801</v>
      </c>
      <c r="B43" s="9" t="s">
        <v>153</v>
      </c>
      <c r="C43" s="10">
        <v>43544</v>
      </c>
      <c r="D43" s="11">
        <v>120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172</v>
      </c>
      <c r="J43" s="12" t="s">
        <v>173</v>
      </c>
      <c r="K43" s="13" t="s">
        <v>40</v>
      </c>
      <c r="L43" s="11" t="str">
        <f>"000281"</f>
        <v>000281</v>
      </c>
      <c r="M43" s="10">
        <v>43537</v>
      </c>
      <c r="N43" s="11" t="str">
        <f>"000091"</f>
        <v>000091</v>
      </c>
      <c r="O43" s="10">
        <v>43537</v>
      </c>
      <c r="P43" s="11" t="str">
        <f>"000274"</f>
        <v>000274</v>
      </c>
      <c r="Q43" s="10">
        <v>43537</v>
      </c>
      <c r="R43" s="11"/>
      <c r="S43" s="11" t="str">
        <f>"009869"</f>
        <v>009869</v>
      </c>
      <c r="T43" s="10">
        <v>43544</v>
      </c>
      <c r="U43" s="14">
        <v>66.513530000000003</v>
      </c>
      <c r="V43" s="14">
        <v>7.8886000000000003</v>
      </c>
      <c r="W43" s="14">
        <v>58.624929999999999</v>
      </c>
      <c r="X43" s="11">
        <v>381</v>
      </c>
      <c r="Y43" s="10">
        <v>43544</v>
      </c>
      <c r="Z43" s="11">
        <v>9483161122</v>
      </c>
      <c r="AA43" s="12" t="s">
        <v>104</v>
      </c>
      <c r="AB43" s="11" t="s">
        <v>170</v>
      </c>
      <c r="AC43" s="12" t="s">
        <v>171</v>
      </c>
      <c r="AD43" s="11" t="s">
        <v>44</v>
      </c>
      <c r="AE43" s="12" t="s">
        <v>45</v>
      </c>
      <c r="AF43" s="14">
        <f t="shared" si="0"/>
        <v>0.66513529999999998</v>
      </c>
      <c r="AG43" s="11" t="s">
        <v>79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2019-06-13T08:02:41Z</dcterms:modified>
</cp:coreProperties>
</file>