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8" i="1" l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<sst xmlns="http://schemas.openxmlformats.org/spreadsheetml/2006/main" count="831" uniqueCount="168">
  <si>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</si>
  <si>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</si>
  <si>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</si>
  <si>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</si>
  <si>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</si>
  <si>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</si>
  <si>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</si>
  <si>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</si>
  <si>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</si>
  <si>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</si>
  <si>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</si>
  <si>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</si>
  <si>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</si>
  <si>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</si>
  <si>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</si>
  <si>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</si>
  <si>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</si>
  <si>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</si>
  <si>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</si>
  <si>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</si>
  <si>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</si>
  <si>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</si>
  <si>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</si>
  <si>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</si>
  <si>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</si>
  <si>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</si>
  <si>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</si>
  <si>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</si>
  <si>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</si>
  <si>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</si>
  <si>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</si>
  <si>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</si>
  <si>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</si>
  <si>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</si>
  <si>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Kempapura Agrahara</t>
  </si>
  <si>
    <t>Vijaya Nagara</t>
  </si>
  <si>
    <t>South</t>
  </si>
  <si>
    <t>122-17-000044</t>
  </si>
  <si>
    <t>Consultancy services for preparation of DPR for the work of Improvements to drain footpath and asphalting to selected Arterial, sub arterial roads and other connecting roads in south zone 2016-17 package no 11</t>
  </si>
  <si>
    <t>Footpaths &amp; Walkability</t>
  </si>
  <si>
    <t>M Ramesh</t>
  </si>
  <si>
    <t>P3158</t>
  </si>
  <si>
    <t>SIP Infrastructure Project works</t>
  </si>
  <si>
    <t>ddo266</t>
  </si>
  <si>
    <t xml:space="preserve"> Assistant Executive Engineer Vijayanagara South Zone</t>
  </si>
  <si>
    <t>Pending</t>
  </si>
  <si>
    <t>ddo265</t>
  </si>
  <si>
    <t xml:space="preserve"> Assistant Executive Engineer Gali Anjenaya Temple South Zone</t>
  </si>
  <si>
    <t>May</t>
  </si>
  <si>
    <t>June</t>
  </si>
  <si>
    <t>122-16-000009</t>
  </si>
  <si>
    <t>Improvements to side drains from 9th cross to 15th cross and Construction of RCC culverts at 15th cross in ward no 122 K P Agrahara</t>
  </si>
  <si>
    <t>M Jayanthkumar</t>
  </si>
  <si>
    <t>P1771</t>
  </si>
  <si>
    <t>Zone Works - POW Works</t>
  </si>
  <si>
    <t>122-16-000010</t>
  </si>
  <si>
    <t>Construction of U shape RCC drain on either side of 4th main road in ward No 122 K P Agrahara</t>
  </si>
  <si>
    <t>122-16-000006</t>
  </si>
  <si>
    <t>Construction of RCC culverts at 8th cross, 8th main and 7th main road of K P Agrahara in ward No 122</t>
  </si>
  <si>
    <t>Roads &amp; Drivablility</t>
  </si>
  <si>
    <t>July</t>
  </si>
  <si>
    <t>122-16-000017</t>
  </si>
  <si>
    <t>Providing street light fittings timer switches poles park fittings control wire in ward 122.</t>
  </si>
  <si>
    <t xml:space="preserve">M/S Pradeep Electricals </t>
  </si>
  <si>
    <t>P0287</t>
  </si>
  <si>
    <t>M and R to Electrical Crematoria</t>
  </si>
  <si>
    <t>ddo258</t>
  </si>
  <si>
    <t xml:space="preserve"> Executive Engineer Electrical South Zone</t>
  </si>
  <si>
    <t>122-16-000004</t>
  </si>
  <si>
    <t>Refilling of road cutting and pothole filling in ward No 122 K P Agrahara</t>
  </si>
  <si>
    <t>122-16-000001</t>
  </si>
  <si>
    <t>Operation and Maintenance of Street Lighting System in Ward No.122 and 124 Package S-19 of South Zone</t>
  </si>
  <si>
    <t>Sri Manjunatha Enterprises (B.Shankar Rao)</t>
  </si>
  <si>
    <t>P0300</t>
  </si>
  <si>
    <t>M and R to Street Lights - Replacement of Burnt Bulbs etc. (Package)</t>
  </si>
  <si>
    <t>122-16-000002</t>
  </si>
  <si>
    <t>Operation and Maintenance of Highmast street lighting system in Vijayanagara and Basavanagudi Assembly Constituency ward no.122 to 124, 132 to 134, 162 to 164, 154 to 158 Package S-30 of South Zone</t>
  </si>
  <si>
    <t>M/s. Sri Manjunatha Enterprises</t>
  </si>
  <si>
    <t>October</t>
  </si>
  <si>
    <t>122-18-000002</t>
  </si>
  <si>
    <t>Providing CC Camera different locations in Ward 122</t>
  </si>
  <si>
    <t>Crime &amp; Safety</t>
  </si>
  <si>
    <t>Technical manager-2</t>
  </si>
  <si>
    <t>P3111</t>
  </si>
  <si>
    <t>State Finance Commission Untied Grant Works</t>
  </si>
  <si>
    <t>Spill Over</t>
  </si>
  <si>
    <t>November</t>
  </si>
  <si>
    <t>122-19-000001</t>
  </si>
  <si>
    <t>Providing Energy saving LED street Lights in Kadappa swamy mutty and surrounding area in ward o 122</t>
  </si>
  <si>
    <t>Executive Engineer - 3, KRIDL</t>
  </si>
  <si>
    <t>Current</t>
  </si>
  <si>
    <t>122-19-000002</t>
  </si>
  <si>
    <t>Providing Energy saving LED street Lights in Mariyappa Bhavani circle and surrounding area in ward o 122</t>
  </si>
  <si>
    <t>Executive Engineer -3, KRIDL</t>
  </si>
  <si>
    <t>122-19-000003</t>
  </si>
  <si>
    <t>Providing Energy saving LED street Lights in Ganga Looms factory and surrounding area in ward o 122</t>
  </si>
  <si>
    <t>122-19-000004</t>
  </si>
  <si>
    <t>Providing Energy saving LED street Lights in BESCOM office and surrounding area in ward 122</t>
  </si>
  <si>
    <t>December</t>
  </si>
  <si>
    <t>122-18-000005</t>
  </si>
  <si>
    <t>Providing Pipe line and Maintenance of bore well in 8th cross in ward no 122 K P Agrahara</t>
  </si>
  <si>
    <t>Water &amp; Sanitary</t>
  </si>
  <si>
    <t>Technical Manager-2</t>
  </si>
  <si>
    <t>P3336</t>
  </si>
  <si>
    <t>Special Development works at Ward No.63,84,86,112,144 ( 05 wards Rs.10.00 Cr. Each) and Ward no.60,80,113,122 ( 04 wards Rs.11.00 Cr. Each)</t>
  </si>
  <si>
    <t>122-18-000020</t>
  </si>
  <si>
    <t>Maintenance of old Borewell near Mariyappana bovi by bproviding pipe line and other Accessories in ward no 122 K P Agrahara</t>
  </si>
  <si>
    <t>122-18-000010</t>
  </si>
  <si>
    <t>Providing Pipe lines to Cross roads of Kanaka temple road in ward no 122 K P Agrahara</t>
  </si>
  <si>
    <t>122-18-000023</t>
  </si>
  <si>
    <t>Increasing Depth of old bore well by Providing necessary pipe line near 12th cross in ward no 122 K P Agrahara</t>
  </si>
  <si>
    <t>122-18-000021</t>
  </si>
  <si>
    <t>Providing pipe line and Maintenance of borewell in 19th cross in ward no 122 K P Agrahara</t>
  </si>
  <si>
    <t>122-18-000019</t>
  </si>
  <si>
    <t>Maintenance of old Borewell near Mahadeshwara temple in ward no 122 K P Agrahara</t>
  </si>
  <si>
    <t>122-18-000011</t>
  </si>
  <si>
    <t>Providing Pipe lines to Navachethana Cross roads in ward no 122 K P Agrahara</t>
  </si>
  <si>
    <t>122-18-000022</t>
  </si>
  <si>
    <t>Replacing Damage Motor and other Accessories to old borewell in 9th cross in ward no 122 K P Agrahara</t>
  </si>
  <si>
    <t>122-18-000009</t>
  </si>
  <si>
    <t>Providing Pipe lines to Cross roads of Shanimahathma temple road in ward no 122 K P Agrahara</t>
  </si>
  <si>
    <t>122-18-000013</t>
  </si>
  <si>
    <t>Providing Pipe lines to 5th main Cross roads in ward no 122 K P Agrahara</t>
  </si>
  <si>
    <t>122-18-000012</t>
  </si>
  <si>
    <t>Providing Pipe lines to 8th Cross roads in ward no 122 K P Agrahara</t>
  </si>
  <si>
    <t>122-18-000016</t>
  </si>
  <si>
    <t>Sinking energizing and commissioning of New borewell in 10th ross in ward no 122 K P Agrahara</t>
  </si>
  <si>
    <t>122-18-000027</t>
  </si>
  <si>
    <t>Sinking energizing and commissioning of New bore well in Shanimahathma temple in ward no 122K P Agrahara</t>
  </si>
  <si>
    <t>122-18-000025</t>
  </si>
  <si>
    <t>Sinking energizing and commissioning of New bore well in Mini Bridge road in ward no 122K P Agrahara</t>
  </si>
  <si>
    <t>122-18-000028</t>
  </si>
  <si>
    <t>Sinking energizing and commissioning of New bore well in 23rd cross in ward no 122K P Agrahara</t>
  </si>
  <si>
    <t>122-18-000014</t>
  </si>
  <si>
    <t>Sinking energizing and commissioning of New borewell in 12th cross road in ward no 122 K P Agrahara</t>
  </si>
  <si>
    <t>122-18-000029</t>
  </si>
  <si>
    <t>Sinking energizing and commissioning of New bore well in 8th cross in ward no 122K P Agrahara</t>
  </si>
  <si>
    <t>122-18-000017</t>
  </si>
  <si>
    <t>Sinking energizing and commissioning of New borewell in 9th cross in ward no 122 K P Agrahara</t>
  </si>
  <si>
    <t>122-18-000018</t>
  </si>
  <si>
    <t>Sinking energizing and commissioning of New borewell in 1st main road in ward no 122 K P Agrahara</t>
  </si>
  <si>
    <t>122-17-000045</t>
  </si>
  <si>
    <t>Drilling of 2 Nos Borewells and Pipeline works in Ward 122.</t>
  </si>
  <si>
    <t>P3075</t>
  </si>
  <si>
    <t>Special comprehensive development works in Bangalore city (Bangalore city in charge Minister Discretionary Grants)</t>
  </si>
  <si>
    <t>122-17-000046</t>
  </si>
  <si>
    <t>Providing Drinking Water Filteration Units (Kiosks) in Ward 122</t>
  </si>
  <si>
    <t>Drinking Water</t>
  </si>
  <si>
    <t>122-18-000015</t>
  </si>
  <si>
    <t>Sinking energizing and commissioning of New borewell in K E B Office road in ward no 122 K P Agrahara</t>
  </si>
  <si>
    <t>122-18-000026</t>
  </si>
  <si>
    <t>Sinking energizing and commissioning of New bore well in Gandhi Bridge road in ward no 122K P Agrahara</t>
  </si>
  <si>
    <t>January</t>
  </si>
  <si>
    <t>122-18-000038</t>
  </si>
  <si>
    <t>Providing Street lights and maintenance in ward no 122 K P Agrahara</t>
  </si>
  <si>
    <t>Executive Engineer-3, KRIDL</t>
  </si>
  <si>
    <t>P3290</t>
  </si>
  <si>
    <t>14th Finance Commission Works - Providing Street Lights and Maintenance</t>
  </si>
  <si>
    <t>February</t>
  </si>
  <si>
    <t>122-18-000042</t>
  </si>
  <si>
    <t>Improvements and maintenance of roads and footpath in ward no 122 K P Agrahara</t>
  </si>
  <si>
    <t>M/s KRIDL,</t>
  </si>
  <si>
    <t>P3296</t>
  </si>
  <si>
    <t>14th Finance Commission Works - Road and Footpath Maintenance</t>
  </si>
  <si>
    <t>122-18-000040</t>
  </si>
  <si>
    <t>Providing pipeline and improvements of borewell in ward noi 122 K P Agrahara</t>
  </si>
  <si>
    <t>P3293</t>
  </si>
  <si>
    <t>14th Finance Commission Works - 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</si>
</sst>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workbookViewId="0">
      <pane ySplit="1" topLeftCell="A2" activePane="bottomLeft" state="frozen"/>
      <selection activeCell="H1" sqref="H1"/>
      <selection pane="bottomLeft" activeCell="A2" sqref="A2:XFD5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97</v>
      </c>
      <c r="B2" s="9" t="s">
        <v>33</v>
      </c>
      <c r="C2" s="10">
        <v>43194</v>
      </c>
      <c r="D2" s="11">
        <v>122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 t="shared" ref="L2:L12" si="0">"000011"</f>
        <v>000011</v>
      </c>
      <c r="M2" s="10">
        <v>42978</v>
      </c>
      <c r="N2" s="11" t="str">
        <f t="shared" ref="N2:N12" si="1">"000012"</f>
        <v>000012</v>
      </c>
      <c r="O2" s="10">
        <v>42978</v>
      </c>
      <c r="P2" s="11" t="str">
        <f t="shared" ref="P2:P12" si="2">"000016"</f>
        <v>000016</v>
      </c>
      <c r="Q2" s="10">
        <v>42978</v>
      </c>
      <c r="R2" s="11">
        <v>17</v>
      </c>
      <c r="S2" s="11" t="str">
        <f t="shared" ref="S2:S12" si="3">"007145"</f>
        <v>007145</v>
      </c>
      <c r="T2" s="10">
        <v>43038</v>
      </c>
      <c r="U2" s="14">
        <v>48.289000000000001</v>
      </c>
      <c r="V2" s="14">
        <v>1.7625999999999999</v>
      </c>
      <c r="W2" s="14">
        <v>46.526400000000002</v>
      </c>
      <c r="X2" s="11">
        <v>1</v>
      </c>
      <c r="Y2" s="10">
        <v>43194</v>
      </c>
      <c r="Z2" s="11">
        <v>9845057449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0.48289000000000004</v>
      </c>
      <c r="AG2" s="11" t="s">
        <v>45</v>
      </c>
    </row>
    <row r="3" spans="1:33" x14ac:dyDescent="0.2">
      <c r="A3" s="8">
        <v>98</v>
      </c>
      <c r="B3" s="9" t="s">
        <v>33</v>
      </c>
      <c r="C3" s="10">
        <v>43194</v>
      </c>
      <c r="D3" s="11">
        <v>122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37</v>
      </c>
      <c r="J3" s="12" t="s">
        <v>38</v>
      </c>
      <c r="K3" s="13" t="s">
        <v>39</v>
      </c>
      <c r="L3" s="11" t="str">
        <f t="shared" si="0"/>
        <v>000011</v>
      </c>
      <c r="M3" s="10">
        <v>42978</v>
      </c>
      <c r="N3" s="11" t="str">
        <f t="shared" si="1"/>
        <v>000012</v>
      </c>
      <c r="O3" s="10">
        <v>42978</v>
      </c>
      <c r="P3" s="11" t="str">
        <f t="shared" si="2"/>
        <v>000016</v>
      </c>
      <c r="Q3" s="10">
        <v>42978</v>
      </c>
      <c r="R3" s="11">
        <v>17</v>
      </c>
      <c r="S3" s="11" t="str">
        <f t="shared" si="3"/>
        <v>007145</v>
      </c>
      <c r="T3" s="10">
        <v>43038</v>
      </c>
      <c r="U3" s="14">
        <v>35.146999999999998</v>
      </c>
      <c r="V3" s="14">
        <v>1.1776500000000001</v>
      </c>
      <c r="W3" s="14">
        <v>33.969349999999999</v>
      </c>
      <c r="X3" s="11">
        <v>1</v>
      </c>
      <c r="Y3" s="10">
        <v>43194</v>
      </c>
      <c r="Z3" s="11">
        <v>9845057449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0.35147</v>
      </c>
      <c r="AG3" s="11" t="s">
        <v>45</v>
      </c>
    </row>
    <row r="4" spans="1:33" x14ac:dyDescent="0.2">
      <c r="A4" s="8">
        <v>99</v>
      </c>
      <c r="B4" s="9" t="s">
        <v>33</v>
      </c>
      <c r="C4" s="10">
        <v>43194</v>
      </c>
      <c r="D4" s="11">
        <v>122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37</v>
      </c>
      <c r="J4" s="12" t="s">
        <v>38</v>
      </c>
      <c r="K4" s="13" t="s">
        <v>39</v>
      </c>
      <c r="L4" s="11" t="str">
        <f t="shared" si="0"/>
        <v>000011</v>
      </c>
      <c r="M4" s="10">
        <v>42978</v>
      </c>
      <c r="N4" s="11" t="str">
        <f t="shared" si="1"/>
        <v>000012</v>
      </c>
      <c r="O4" s="10">
        <v>42978</v>
      </c>
      <c r="P4" s="11" t="str">
        <f t="shared" si="2"/>
        <v>000016</v>
      </c>
      <c r="Q4" s="10">
        <v>42978</v>
      </c>
      <c r="R4" s="11">
        <v>17</v>
      </c>
      <c r="S4" s="11" t="str">
        <f t="shared" si="3"/>
        <v>007145</v>
      </c>
      <c r="T4" s="10">
        <v>43038</v>
      </c>
      <c r="U4" s="14">
        <v>11.476000000000001</v>
      </c>
      <c r="V4" s="14">
        <v>0.44819999999999999</v>
      </c>
      <c r="W4" s="14">
        <v>11.027799999999999</v>
      </c>
      <c r="X4" s="11">
        <v>1</v>
      </c>
      <c r="Y4" s="10">
        <v>43194</v>
      </c>
      <c r="Z4" s="11">
        <v>9845057449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0.11476000000000001</v>
      </c>
      <c r="AG4" s="11" t="s">
        <v>45</v>
      </c>
    </row>
    <row r="5" spans="1:33" x14ac:dyDescent="0.2">
      <c r="A5" s="8">
        <v>100</v>
      </c>
      <c r="B5" s="9" t="s">
        <v>33</v>
      </c>
      <c r="C5" s="10">
        <v>43194</v>
      </c>
      <c r="D5" s="11">
        <v>122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37</v>
      </c>
      <c r="J5" s="12" t="s">
        <v>38</v>
      </c>
      <c r="K5" s="13" t="s">
        <v>39</v>
      </c>
      <c r="L5" s="11" t="str">
        <f t="shared" si="0"/>
        <v>000011</v>
      </c>
      <c r="M5" s="10">
        <v>42978</v>
      </c>
      <c r="N5" s="11" t="str">
        <f t="shared" si="1"/>
        <v>000012</v>
      </c>
      <c r="O5" s="10">
        <v>42978</v>
      </c>
      <c r="P5" s="11" t="str">
        <f t="shared" si="2"/>
        <v>000016</v>
      </c>
      <c r="Q5" s="10">
        <v>42978</v>
      </c>
      <c r="R5" s="11">
        <v>17</v>
      </c>
      <c r="S5" s="11" t="str">
        <f t="shared" si="3"/>
        <v>007145</v>
      </c>
      <c r="T5" s="10">
        <v>43038</v>
      </c>
      <c r="U5" s="14">
        <v>318.43266999999997</v>
      </c>
      <c r="V5" s="14">
        <v>9.2870899999999992</v>
      </c>
      <c r="W5" s="14">
        <v>309.14558</v>
      </c>
      <c r="X5" s="11">
        <v>1</v>
      </c>
      <c r="Y5" s="10">
        <v>43194</v>
      </c>
      <c r="Z5" s="11">
        <v>9845057449</v>
      </c>
      <c r="AA5" s="12" t="s">
        <v>40</v>
      </c>
      <c r="AB5" s="11" t="s">
        <v>41</v>
      </c>
      <c r="AC5" s="12" t="s">
        <v>42</v>
      </c>
      <c r="AD5" s="11" t="s">
        <v>46</v>
      </c>
      <c r="AE5" s="12" t="s">
        <v>47</v>
      </c>
      <c r="AF5" s="14">
        <v>3.1843266999999997</v>
      </c>
      <c r="AG5" s="11" t="s">
        <v>45</v>
      </c>
    </row>
    <row r="6" spans="1:33" x14ac:dyDescent="0.2">
      <c r="A6" s="8">
        <v>993</v>
      </c>
      <c r="B6" s="9" t="s">
        <v>48</v>
      </c>
      <c r="C6" s="10">
        <v>43229</v>
      </c>
      <c r="D6" s="11">
        <v>122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37</v>
      </c>
      <c r="J6" s="12" t="s">
        <v>38</v>
      </c>
      <c r="K6" s="13" t="s">
        <v>39</v>
      </c>
      <c r="L6" s="11" t="str">
        <f t="shared" si="0"/>
        <v>000011</v>
      </c>
      <c r="M6" s="10">
        <v>42978</v>
      </c>
      <c r="N6" s="11" t="str">
        <f t="shared" si="1"/>
        <v>000012</v>
      </c>
      <c r="O6" s="10">
        <v>42978</v>
      </c>
      <c r="P6" s="11" t="str">
        <f t="shared" si="2"/>
        <v>000016</v>
      </c>
      <c r="Q6" s="10">
        <v>42978</v>
      </c>
      <c r="R6" s="11">
        <v>17</v>
      </c>
      <c r="S6" s="11" t="str">
        <f t="shared" si="3"/>
        <v>007145</v>
      </c>
      <c r="T6" s="10">
        <v>43038</v>
      </c>
      <c r="U6" s="14">
        <v>77.03</v>
      </c>
      <c r="V6" s="14">
        <v>2.7735500000000002</v>
      </c>
      <c r="W6" s="14">
        <v>74.256450000000001</v>
      </c>
      <c r="X6" s="11">
        <v>43</v>
      </c>
      <c r="Y6" s="10">
        <v>43229</v>
      </c>
      <c r="Z6" s="11">
        <v>9845057449</v>
      </c>
      <c r="AA6" s="12" t="s">
        <v>40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0.77029999999999998</v>
      </c>
      <c r="AG6" s="11" t="s">
        <v>45</v>
      </c>
    </row>
    <row r="7" spans="1:33" x14ac:dyDescent="0.2">
      <c r="A7" s="8">
        <v>994</v>
      </c>
      <c r="B7" s="9" t="s">
        <v>48</v>
      </c>
      <c r="C7" s="10">
        <v>43229</v>
      </c>
      <c r="D7" s="11">
        <v>122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37</v>
      </c>
      <c r="J7" s="12" t="s">
        <v>38</v>
      </c>
      <c r="K7" s="13" t="s">
        <v>39</v>
      </c>
      <c r="L7" s="11" t="str">
        <f t="shared" si="0"/>
        <v>000011</v>
      </c>
      <c r="M7" s="10">
        <v>42978</v>
      </c>
      <c r="N7" s="11" t="str">
        <f t="shared" si="1"/>
        <v>000012</v>
      </c>
      <c r="O7" s="10">
        <v>42978</v>
      </c>
      <c r="P7" s="11" t="str">
        <f t="shared" si="2"/>
        <v>000016</v>
      </c>
      <c r="Q7" s="10">
        <v>42978</v>
      </c>
      <c r="R7" s="11">
        <v>17</v>
      </c>
      <c r="S7" s="11" t="str">
        <f t="shared" si="3"/>
        <v>007145</v>
      </c>
      <c r="T7" s="10">
        <v>43038</v>
      </c>
      <c r="U7" s="14">
        <v>15.369</v>
      </c>
      <c r="V7" s="14">
        <v>0.55330000000000001</v>
      </c>
      <c r="W7" s="14">
        <v>14.8157</v>
      </c>
      <c r="X7" s="11">
        <v>43</v>
      </c>
      <c r="Y7" s="10">
        <v>43229</v>
      </c>
      <c r="Z7" s="11">
        <v>9845057449</v>
      </c>
      <c r="AA7" s="12" t="s">
        <v>40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0.15368999999999999</v>
      </c>
      <c r="AG7" s="11" t="s">
        <v>45</v>
      </c>
    </row>
    <row r="8" spans="1:33" x14ac:dyDescent="0.2">
      <c r="A8" s="8">
        <v>995</v>
      </c>
      <c r="B8" s="9" t="s">
        <v>48</v>
      </c>
      <c r="C8" s="10">
        <v>43229</v>
      </c>
      <c r="D8" s="11">
        <v>122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37</v>
      </c>
      <c r="J8" s="12" t="s">
        <v>38</v>
      </c>
      <c r="K8" s="13" t="s">
        <v>39</v>
      </c>
      <c r="L8" s="11" t="str">
        <f t="shared" si="0"/>
        <v>000011</v>
      </c>
      <c r="M8" s="10">
        <v>42978</v>
      </c>
      <c r="N8" s="11" t="str">
        <f t="shared" si="1"/>
        <v>000012</v>
      </c>
      <c r="O8" s="10">
        <v>42978</v>
      </c>
      <c r="P8" s="11" t="str">
        <f t="shared" si="2"/>
        <v>000016</v>
      </c>
      <c r="Q8" s="10">
        <v>42978</v>
      </c>
      <c r="R8" s="11">
        <v>17</v>
      </c>
      <c r="S8" s="11" t="str">
        <f t="shared" si="3"/>
        <v>007145</v>
      </c>
      <c r="T8" s="10">
        <v>43038</v>
      </c>
      <c r="U8" s="14">
        <v>41.853000000000002</v>
      </c>
      <c r="V8" s="14">
        <v>1.50671</v>
      </c>
      <c r="W8" s="14">
        <v>40.346290000000003</v>
      </c>
      <c r="X8" s="11">
        <v>43</v>
      </c>
      <c r="Y8" s="10">
        <v>43229</v>
      </c>
      <c r="Z8" s="11">
        <v>9845057449</v>
      </c>
      <c r="AA8" s="12" t="s">
        <v>40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0.41853000000000001</v>
      </c>
      <c r="AG8" s="11" t="s">
        <v>45</v>
      </c>
    </row>
    <row r="9" spans="1:33" x14ac:dyDescent="0.2">
      <c r="A9" s="8">
        <v>996</v>
      </c>
      <c r="B9" s="9" t="s">
        <v>48</v>
      </c>
      <c r="C9" s="10">
        <v>43229</v>
      </c>
      <c r="D9" s="11">
        <v>122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37</v>
      </c>
      <c r="J9" s="12" t="s">
        <v>38</v>
      </c>
      <c r="K9" s="13" t="s">
        <v>39</v>
      </c>
      <c r="L9" s="11" t="str">
        <f t="shared" si="0"/>
        <v>000011</v>
      </c>
      <c r="M9" s="10">
        <v>42978</v>
      </c>
      <c r="N9" s="11" t="str">
        <f t="shared" si="1"/>
        <v>000012</v>
      </c>
      <c r="O9" s="10">
        <v>42978</v>
      </c>
      <c r="P9" s="11" t="str">
        <f t="shared" si="2"/>
        <v>000016</v>
      </c>
      <c r="Q9" s="10">
        <v>42978</v>
      </c>
      <c r="R9" s="11">
        <v>17</v>
      </c>
      <c r="S9" s="11" t="str">
        <f t="shared" si="3"/>
        <v>007145</v>
      </c>
      <c r="T9" s="10">
        <v>43038</v>
      </c>
      <c r="U9" s="14">
        <v>48.86</v>
      </c>
      <c r="V9" s="14">
        <v>1.7591000000000001</v>
      </c>
      <c r="W9" s="14">
        <v>47.100900000000003</v>
      </c>
      <c r="X9" s="11">
        <v>43</v>
      </c>
      <c r="Y9" s="10">
        <v>43229</v>
      </c>
      <c r="Z9" s="11">
        <v>9845057449</v>
      </c>
      <c r="AA9" s="12" t="s">
        <v>40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0.48859999999999998</v>
      </c>
      <c r="AG9" s="11" t="s">
        <v>45</v>
      </c>
    </row>
    <row r="10" spans="1:33" x14ac:dyDescent="0.2">
      <c r="A10" s="8">
        <v>1336</v>
      </c>
      <c r="B10" s="9" t="s">
        <v>48</v>
      </c>
      <c r="C10" s="10">
        <v>43241</v>
      </c>
      <c r="D10" s="11">
        <v>122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37</v>
      </c>
      <c r="J10" s="12" t="s">
        <v>38</v>
      </c>
      <c r="K10" s="13" t="s">
        <v>39</v>
      </c>
      <c r="L10" s="11" t="str">
        <f t="shared" si="0"/>
        <v>000011</v>
      </c>
      <c r="M10" s="10">
        <v>42978</v>
      </c>
      <c r="N10" s="11" t="str">
        <f t="shared" si="1"/>
        <v>000012</v>
      </c>
      <c r="O10" s="10">
        <v>42978</v>
      </c>
      <c r="P10" s="11" t="str">
        <f t="shared" si="2"/>
        <v>000016</v>
      </c>
      <c r="Q10" s="10">
        <v>42978</v>
      </c>
      <c r="R10" s="11">
        <v>17</v>
      </c>
      <c r="S10" s="11" t="str">
        <f t="shared" si="3"/>
        <v>007145</v>
      </c>
      <c r="T10" s="10">
        <v>43038</v>
      </c>
      <c r="U10" s="14">
        <v>10.182</v>
      </c>
      <c r="V10" s="14">
        <v>0.36695</v>
      </c>
      <c r="W10" s="14">
        <v>9.8150499999999994</v>
      </c>
      <c r="X10" s="11">
        <v>55</v>
      </c>
      <c r="Y10" s="10">
        <v>43241</v>
      </c>
      <c r="Z10" s="11">
        <v>9845057449</v>
      </c>
      <c r="AA10" s="12" t="s">
        <v>40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0.10182000000000001</v>
      </c>
      <c r="AG10" s="11" t="s">
        <v>45</v>
      </c>
    </row>
    <row r="11" spans="1:33" x14ac:dyDescent="0.2">
      <c r="A11" s="8">
        <v>1337</v>
      </c>
      <c r="B11" s="9" t="s">
        <v>48</v>
      </c>
      <c r="C11" s="10">
        <v>43241</v>
      </c>
      <c r="D11" s="11">
        <v>122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37</v>
      </c>
      <c r="J11" s="12" t="s">
        <v>38</v>
      </c>
      <c r="K11" s="13" t="s">
        <v>39</v>
      </c>
      <c r="L11" s="11" t="str">
        <f t="shared" si="0"/>
        <v>000011</v>
      </c>
      <c r="M11" s="10">
        <v>42978</v>
      </c>
      <c r="N11" s="11" t="str">
        <f t="shared" si="1"/>
        <v>000012</v>
      </c>
      <c r="O11" s="10">
        <v>42978</v>
      </c>
      <c r="P11" s="11" t="str">
        <f t="shared" si="2"/>
        <v>000016</v>
      </c>
      <c r="Q11" s="10">
        <v>42978</v>
      </c>
      <c r="R11" s="11">
        <v>17</v>
      </c>
      <c r="S11" s="11" t="str">
        <f t="shared" si="3"/>
        <v>007145</v>
      </c>
      <c r="T11" s="10">
        <v>43038</v>
      </c>
      <c r="U11" s="14">
        <v>93.427000000000007</v>
      </c>
      <c r="V11" s="14">
        <v>3.3639999999999999</v>
      </c>
      <c r="W11" s="14">
        <v>90.063000000000002</v>
      </c>
      <c r="X11" s="11">
        <v>55</v>
      </c>
      <c r="Y11" s="10">
        <v>43241</v>
      </c>
      <c r="Z11" s="11">
        <v>9845057449</v>
      </c>
      <c r="AA11" s="12" t="s">
        <v>40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0.93427000000000004</v>
      </c>
      <c r="AG11" s="11" t="s">
        <v>45</v>
      </c>
    </row>
    <row r="12" spans="1:33" x14ac:dyDescent="0.2">
      <c r="A12" s="8">
        <v>1338</v>
      </c>
      <c r="B12" s="9" t="s">
        <v>48</v>
      </c>
      <c r="C12" s="10">
        <v>43241</v>
      </c>
      <c r="D12" s="11">
        <v>122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37</v>
      </c>
      <c r="J12" s="12" t="s">
        <v>38</v>
      </c>
      <c r="K12" s="13" t="s">
        <v>39</v>
      </c>
      <c r="L12" s="11" t="str">
        <f t="shared" si="0"/>
        <v>000011</v>
      </c>
      <c r="M12" s="10">
        <v>42978</v>
      </c>
      <c r="N12" s="11" t="str">
        <f t="shared" si="1"/>
        <v>000012</v>
      </c>
      <c r="O12" s="10">
        <v>42978</v>
      </c>
      <c r="P12" s="11" t="str">
        <f t="shared" si="2"/>
        <v>000016</v>
      </c>
      <c r="Q12" s="10">
        <v>42978</v>
      </c>
      <c r="R12" s="11">
        <v>17</v>
      </c>
      <c r="S12" s="11" t="str">
        <f t="shared" si="3"/>
        <v>007145</v>
      </c>
      <c r="T12" s="10">
        <v>43038</v>
      </c>
      <c r="U12" s="14">
        <v>21.568999999999999</v>
      </c>
      <c r="V12" s="14">
        <v>0.77649999999999997</v>
      </c>
      <c r="W12" s="14">
        <v>20.7925</v>
      </c>
      <c r="X12" s="11">
        <v>55</v>
      </c>
      <c r="Y12" s="10">
        <v>43241</v>
      </c>
      <c r="Z12" s="11">
        <v>9845057449</v>
      </c>
      <c r="AA12" s="12" t="s">
        <v>40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0.21568999999999999</v>
      </c>
      <c r="AG12" s="11" t="s">
        <v>45</v>
      </c>
    </row>
    <row r="13" spans="1:33" x14ac:dyDescent="0.2">
      <c r="A13" s="8">
        <v>2354</v>
      </c>
      <c r="B13" s="9" t="s">
        <v>49</v>
      </c>
      <c r="C13" s="10">
        <v>43269</v>
      </c>
      <c r="D13" s="11">
        <v>122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50</v>
      </c>
      <c r="J13" s="12" t="s">
        <v>51</v>
      </c>
      <c r="K13" s="13" t="s">
        <v>39</v>
      </c>
      <c r="L13" s="11" t="str">
        <f>"000012"</f>
        <v>000012</v>
      </c>
      <c r="M13" s="10">
        <v>42462</v>
      </c>
      <c r="N13" s="11" t="str">
        <f>"000030"</f>
        <v>000030</v>
      </c>
      <c r="O13" s="10">
        <v>42520</v>
      </c>
      <c r="P13" s="11" t="str">
        <f>"000063"</f>
        <v>000063</v>
      </c>
      <c r="Q13" s="10">
        <v>42521</v>
      </c>
      <c r="R13" s="11">
        <v>16</v>
      </c>
      <c r="S13" s="11" t="str">
        <f>"002562"</f>
        <v>002562</v>
      </c>
      <c r="T13" s="10">
        <v>43265</v>
      </c>
      <c r="U13" s="14">
        <v>20.63</v>
      </c>
      <c r="V13" s="14">
        <v>2.9098000000000002</v>
      </c>
      <c r="W13" s="14">
        <v>17.720199999999998</v>
      </c>
      <c r="X13" s="11">
        <v>90</v>
      </c>
      <c r="Y13" s="10">
        <v>43269</v>
      </c>
      <c r="Z13" s="11">
        <v>9886168239</v>
      </c>
      <c r="AA13" s="12" t="s">
        <v>52</v>
      </c>
      <c r="AB13" s="11" t="s">
        <v>53</v>
      </c>
      <c r="AC13" s="12" t="s">
        <v>54</v>
      </c>
      <c r="AD13" s="11" t="s">
        <v>43</v>
      </c>
      <c r="AE13" s="12" t="s">
        <v>44</v>
      </c>
      <c r="AF13" s="14">
        <v>0.20629999999999998</v>
      </c>
      <c r="AG13" s="11" t="s">
        <v>45</v>
      </c>
    </row>
    <row r="14" spans="1:33" x14ac:dyDescent="0.2">
      <c r="A14" s="8">
        <v>2583</v>
      </c>
      <c r="B14" s="9" t="s">
        <v>49</v>
      </c>
      <c r="C14" s="10">
        <v>43274</v>
      </c>
      <c r="D14" s="11">
        <v>122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55</v>
      </c>
      <c r="J14" s="12" t="s">
        <v>56</v>
      </c>
      <c r="K14" s="13" t="s">
        <v>39</v>
      </c>
      <c r="L14" s="11" t="str">
        <f>"000014"</f>
        <v>000014</v>
      </c>
      <c r="M14" s="10">
        <v>42462</v>
      </c>
      <c r="N14" s="11" t="str">
        <f>"000074"</f>
        <v>000074</v>
      </c>
      <c r="O14" s="10">
        <v>42551</v>
      </c>
      <c r="P14" s="11" t="str">
        <f>"000123"</f>
        <v>000123</v>
      </c>
      <c r="Q14" s="10">
        <v>42551</v>
      </c>
      <c r="R14" s="11">
        <v>16</v>
      </c>
      <c r="S14" s="11" t="str">
        <f>"002636"</f>
        <v>002636</v>
      </c>
      <c r="T14" s="10">
        <v>43269</v>
      </c>
      <c r="U14" s="14">
        <v>10.223000000000001</v>
      </c>
      <c r="V14" s="14">
        <v>1.2869999999999999</v>
      </c>
      <c r="W14" s="14">
        <v>8.9359999999999999</v>
      </c>
      <c r="X14" s="11">
        <v>99</v>
      </c>
      <c r="Y14" s="10">
        <v>43274</v>
      </c>
      <c r="Z14" s="11">
        <v>9886168239</v>
      </c>
      <c r="AA14" s="12" t="s">
        <v>52</v>
      </c>
      <c r="AB14" s="11" t="s">
        <v>53</v>
      </c>
      <c r="AC14" s="12" t="s">
        <v>54</v>
      </c>
      <c r="AD14" s="11" t="s">
        <v>43</v>
      </c>
      <c r="AE14" s="12" t="s">
        <v>44</v>
      </c>
      <c r="AF14" s="14">
        <v>0.10223</v>
      </c>
      <c r="AG14" s="11" t="s">
        <v>45</v>
      </c>
    </row>
    <row r="15" spans="1:33" x14ac:dyDescent="0.2">
      <c r="A15" s="8">
        <v>2584</v>
      </c>
      <c r="B15" s="9" t="s">
        <v>49</v>
      </c>
      <c r="C15" s="10">
        <v>43274</v>
      </c>
      <c r="D15" s="11">
        <v>122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57</v>
      </c>
      <c r="J15" s="12" t="s">
        <v>58</v>
      </c>
      <c r="K15" s="13" t="s">
        <v>59</v>
      </c>
      <c r="L15" s="11" t="str">
        <f>"00013a"</f>
        <v>00013a</v>
      </c>
      <c r="M15" s="10">
        <v>42462</v>
      </c>
      <c r="N15" s="11" t="str">
        <f>"000073"</f>
        <v>000073</v>
      </c>
      <c r="O15" s="10">
        <v>42551</v>
      </c>
      <c r="P15" s="11" t="str">
        <f>"000122"</f>
        <v>000122</v>
      </c>
      <c r="Q15" s="10">
        <v>42551</v>
      </c>
      <c r="R15" s="11">
        <v>16</v>
      </c>
      <c r="S15" s="11" t="str">
        <f>"002818"</f>
        <v>002818</v>
      </c>
      <c r="T15" s="10">
        <v>43272</v>
      </c>
      <c r="U15" s="14">
        <v>9.2654999999999994</v>
      </c>
      <c r="V15" s="14">
        <v>1.169</v>
      </c>
      <c r="W15" s="14">
        <v>8.0965000000000007</v>
      </c>
      <c r="X15" s="11">
        <v>99</v>
      </c>
      <c r="Y15" s="10">
        <v>43274</v>
      </c>
      <c r="Z15" s="11">
        <v>9886168239</v>
      </c>
      <c r="AA15" s="12" t="s">
        <v>52</v>
      </c>
      <c r="AB15" s="11" t="s">
        <v>53</v>
      </c>
      <c r="AC15" s="12" t="s">
        <v>54</v>
      </c>
      <c r="AD15" s="11" t="s">
        <v>43</v>
      </c>
      <c r="AE15" s="12" t="s">
        <v>44</v>
      </c>
      <c r="AF15" s="14">
        <v>9.2654999999999987E-2</v>
      </c>
      <c r="AG15" s="11" t="s">
        <v>45</v>
      </c>
    </row>
    <row r="16" spans="1:33" x14ac:dyDescent="0.2">
      <c r="A16" s="8">
        <v>2889</v>
      </c>
      <c r="B16" s="9" t="s">
        <v>60</v>
      </c>
      <c r="C16" s="10">
        <v>43283</v>
      </c>
      <c r="D16" s="11">
        <v>122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37</v>
      </c>
      <c r="J16" s="12" t="s">
        <v>38</v>
      </c>
      <c r="K16" s="13" t="s">
        <v>59</v>
      </c>
      <c r="L16" s="11" t="str">
        <f>"000011"</f>
        <v>000011</v>
      </c>
      <c r="M16" s="10">
        <v>42978</v>
      </c>
      <c r="N16" s="11" t="str">
        <f>"000012"</f>
        <v>000012</v>
      </c>
      <c r="O16" s="10">
        <v>42978</v>
      </c>
      <c r="P16" s="11" t="str">
        <f>"000016"</f>
        <v>000016</v>
      </c>
      <c r="Q16" s="10">
        <v>42978</v>
      </c>
      <c r="R16" s="11">
        <v>17</v>
      </c>
      <c r="S16" s="11" t="str">
        <f>"007145"</f>
        <v>007145</v>
      </c>
      <c r="T16" s="10">
        <v>43038</v>
      </c>
      <c r="U16" s="14">
        <v>39.28</v>
      </c>
      <c r="V16" s="14">
        <v>1.4147000000000001</v>
      </c>
      <c r="W16" s="14">
        <v>37.865299999999998</v>
      </c>
      <c r="X16" s="11">
        <v>105</v>
      </c>
      <c r="Y16" s="10">
        <v>43283</v>
      </c>
      <c r="Z16" s="11">
        <v>9845057449</v>
      </c>
      <c r="AA16" s="12" t="s">
        <v>40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0.39280000000000004</v>
      </c>
      <c r="AG16" s="11" t="s">
        <v>45</v>
      </c>
    </row>
    <row r="17" spans="1:33" x14ac:dyDescent="0.2">
      <c r="A17" s="8">
        <v>2890</v>
      </c>
      <c r="B17" s="9" t="s">
        <v>60</v>
      </c>
      <c r="C17" s="10">
        <v>43283</v>
      </c>
      <c r="D17" s="11">
        <v>122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61</v>
      </c>
      <c r="J17" s="12" t="s">
        <v>62</v>
      </c>
      <c r="K17" s="13" t="s">
        <v>39</v>
      </c>
      <c r="L17" s="11" t="str">
        <f>"000033"</f>
        <v>000033</v>
      </c>
      <c r="M17" s="10">
        <v>42495</v>
      </c>
      <c r="N17" s="11" t="str">
        <f>"000078"</f>
        <v>000078</v>
      </c>
      <c r="O17" s="10">
        <v>42684</v>
      </c>
      <c r="P17" s="11" t="str">
        <f>"000225"</f>
        <v>000225</v>
      </c>
      <c r="Q17" s="10">
        <v>42685</v>
      </c>
      <c r="R17" s="11">
        <v>16</v>
      </c>
      <c r="S17" s="11" t="str">
        <f>"003104"</f>
        <v>003104</v>
      </c>
      <c r="T17" s="10">
        <v>43280</v>
      </c>
      <c r="U17" s="14">
        <v>7.6321300000000001</v>
      </c>
      <c r="V17" s="14">
        <v>0.54964000000000002</v>
      </c>
      <c r="W17" s="14">
        <v>7.08249</v>
      </c>
      <c r="X17" s="11">
        <v>106</v>
      </c>
      <c r="Y17" s="10">
        <v>43283</v>
      </c>
      <c r="Z17" s="11">
        <v>9686681397</v>
      </c>
      <c r="AA17" s="12" t="s">
        <v>63</v>
      </c>
      <c r="AB17" s="11" t="s">
        <v>64</v>
      </c>
      <c r="AC17" s="12" t="s">
        <v>65</v>
      </c>
      <c r="AD17" s="11" t="s">
        <v>66</v>
      </c>
      <c r="AE17" s="12" t="s">
        <v>67</v>
      </c>
      <c r="AF17" s="14">
        <v>7.6321299999999995E-2</v>
      </c>
      <c r="AG17" s="11" t="s">
        <v>45</v>
      </c>
    </row>
    <row r="18" spans="1:33" x14ac:dyDescent="0.2">
      <c r="A18" s="8">
        <v>3560</v>
      </c>
      <c r="B18" s="9" t="s">
        <v>60</v>
      </c>
      <c r="C18" s="10">
        <v>43299</v>
      </c>
      <c r="D18" s="11">
        <v>122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68</v>
      </c>
      <c r="J18" s="12" t="s">
        <v>69</v>
      </c>
      <c r="K18" s="13" t="s">
        <v>59</v>
      </c>
      <c r="L18" s="11" t="str">
        <f>"000011"</f>
        <v>000011</v>
      </c>
      <c r="M18" s="10">
        <v>42462</v>
      </c>
      <c r="N18" s="11" t="str">
        <f>"000223"</f>
        <v>000223</v>
      </c>
      <c r="O18" s="10">
        <v>42730</v>
      </c>
      <c r="P18" s="11" t="str">
        <f>"000424"</f>
        <v>000424</v>
      </c>
      <c r="Q18" s="10">
        <v>42730</v>
      </c>
      <c r="R18" s="11">
        <v>16</v>
      </c>
      <c r="S18" s="11" t="str">
        <f>"003839"</f>
        <v>003839</v>
      </c>
      <c r="T18" s="10">
        <v>43297</v>
      </c>
      <c r="U18" s="14">
        <v>9.2695000000000007</v>
      </c>
      <c r="V18" s="14">
        <v>1.1773</v>
      </c>
      <c r="W18" s="14">
        <v>8.0922000000000001</v>
      </c>
      <c r="X18" s="11">
        <v>128</v>
      </c>
      <c r="Y18" s="10">
        <v>43299</v>
      </c>
      <c r="Z18" s="11">
        <v>9886168239</v>
      </c>
      <c r="AA18" s="12" t="s">
        <v>52</v>
      </c>
      <c r="AB18" s="11" t="s">
        <v>53</v>
      </c>
      <c r="AC18" s="12" t="s">
        <v>54</v>
      </c>
      <c r="AD18" s="11" t="s">
        <v>43</v>
      </c>
      <c r="AE18" s="12" t="s">
        <v>44</v>
      </c>
      <c r="AF18" s="14">
        <v>9.2695000000000013E-2</v>
      </c>
      <c r="AG18" s="11" t="s">
        <v>45</v>
      </c>
    </row>
    <row r="19" spans="1:33" x14ac:dyDescent="0.2">
      <c r="A19" s="8">
        <v>3766</v>
      </c>
      <c r="B19" s="9" t="s">
        <v>60</v>
      </c>
      <c r="C19" s="10">
        <v>43301</v>
      </c>
      <c r="D19" s="11">
        <v>122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70</v>
      </c>
      <c r="J19" s="12" t="s">
        <v>71</v>
      </c>
      <c r="K19" s="13" t="s">
        <v>39</v>
      </c>
      <c r="L19" s="11" t="str">
        <f>"000017"</f>
        <v>000017</v>
      </c>
      <c r="M19" s="10">
        <v>42934</v>
      </c>
      <c r="N19" s="11" t="str">
        <f>"000005"</f>
        <v>000005</v>
      </c>
      <c r="O19" s="10">
        <v>43183</v>
      </c>
      <c r="P19" s="11" t="str">
        <f>"000141"</f>
        <v>000141</v>
      </c>
      <c r="Q19" s="10">
        <v>43183</v>
      </c>
      <c r="R19" s="11">
        <v>16</v>
      </c>
      <c r="S19" s="11" t="str">
        <f>"004305"</f>
        <v>004305</v>
      </c>
      <c r="T19" s="10">
        <v>43306</v>
      </c>
      <c r="U19" s="14">
        <v>9.5951699999999995</v>
      </c>
      <c r="V19" s="14">
        <v>0.82525000000000004</v>
      </c>
      <c r="W19" s="14">
        <v>8.7699200000000008</v>
      </c>
      <c r="X19" s="11">
        <v>134</v>
      </c>
      <c r="Y19" s="10">
        <v>43301</v>
      </c>
      <c r="Z19" s="11">
        <v>0</v>
      </c>
      <c r="AA19" s="12" t="s">
        <v>72</v>
      </c>
      <c r="AB19" s="11" t="s">
        <v>73</v>
      </c>
      <c r="AC19" s="12" t="s">
        <v>74</v>
      </c>
      <c r="AD19" s="11" t="s">
        <v>66</v>
      </c>
      <c r="AE19" s="12" t="s">
        <v>67</v>
      </c>
      <c r="AF19" s="14">
        <v>9.5951700000000001E-2</v>
      </c>
      <c r="AG19" s="11" t="s">
        <v>45</v>
      </c>
    </row>
    <row r="20" spans="1:33" x14ac:dyDescent="0.2">
      <c r="A20" s="8">
        <v>3767</v>
      </c>
      <c r="B20" s="9" t="s">
        <v>60</v>
      </c>
      <c r="C20" s="10">
        <v>43301</v>
      </c>
      <c r="D20" s="11">
        <v>122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75</v>
      </c>
      <c r="J20" s="12" t="s">
        <v>76</v>
      </c>
      <c r="K20" s="13" t="s">
        <v>39</v>
      </c>
      <c r="L20" s="11" t="str">
        <f>"000030"</f>
        <v>000030</v>
      </c>
      <c r="M20" s="10">
        <v>42934</v>
      </c>
      <c r="N20" s="11" t="str">
        <f>"000158"</f>
        <v>000158</v>
      </c>
      <c r="O20" s="10">
        <v>43187</v>
      </c>
      <c r="P20" s="11" t="str">
        <f>"000163"</f>
        <v>000163</v>
      </c>
      <c r="Q20" s="10">
        <v>43187</v>
      </c>
      <c r="R20" s="11">
        <v>16</v>
      </c>
      <c r="S20" s="11" t="str">
        <f>"004309"</f>
        <v>004309</v>
      </c>
      <c r="T20" s="10">
        <v>43306</v>
      </c>
      <c r="U20" s="14">
        <v>6.3724699999999999</v>
      </c>
      <c r="V20" s="14">
        <v>0.55066000000000004</v>
      </c>
      <c r="W20" s="14">
        <v>5.8218100000000002</v>
      </c>
      <c r="X20" s="11">
        <v>134</v>
      </c>
      <c r="Y20" s="10">
        <v>43301</v>
      </c>
      <c r="Z20" s="11">
        <v>0</v>
      </c>
      <c r="AA20" s="12" t="s">
        <v>77</v>
      </c>
      <c r="AB20" s="11" t="s">
        <v>73</v>
      </c>
      <c r="AC20" s="12" t="s">
        <v>74</v>
      </c>
      <c r="AD20" s="11" t="s">
        <v>66</v>
      </c>
      <c r="AE20" s="12" t="s">
        <v>67</v>
      </c>
      <c r="AF20" s="14">
        <v>6.3724699999999995E-2</v>
      </c>
      <c r="AG20" s="11" t="s">
        <v>45</v>
      </c>
    </row>
    <row r="21" spans="1:33" x14ac:dyDescent="0.2">
      <c r="A21" s="8">
        <v>4129</v>
      </c>
      <c r="B21" s="9" t="s">
        <v>60</v>
      </c>
      <c r="C21" s="10">
        <v>43308</v>
      </c>
      <c r="D21" s="11">
        <v>122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70</v>
      </c>
      <c r="J21" s="12" t="s">
        <v>71</v>
      </c>
      <c r="K21" s="13" t="s">
        <v>39</v>
      </c>
      <c r="L21" s="11" t="str">
        <f>"000017"</f>
        <v>000017</v>
      </c>
      <c r="M21" s="10">
        <v>42934</v>
      </c>
      <c r="N21" s="11" t="str">
        <f>"000005"</f>
        <v>000005</v>
      </c>
      <c r="O21" s="10">
        <v>43183</v>
      </c>
      <c r="P21" s="11" t="str">
        <f>"000141"</f>
        <v>000141</v>
      </c>
      <c r="Q21" s="10">
        <v>43183</v>
      </c>
      <c r="R21" s="11">
        <v>16</v>
      </c>
      <c r="S21" s="11" t="str">
        <f>"004305"</f>
        <v>004305</v>
      </c>
      <c r="T21" s="10">
        <v>43306</v>
      </c>
      <c r="U21" s="14">
        <v>1.91903</v>
      </c>
      <c r="V21" s="14">
        <v>0.18124000000000001</v>
      </c>
      <c r="W21" s="14">
        <v>1.7377899999999999</v>
      </c>
      <c r="X21" s="11">
        <v>146</v>
      </c>
      <c r="Y21" s="10">
        <v>43308</v>
      </c>
      <c r="Z21" s="11">
        <v>0</v>
      </c>
      <c r="AA21" s="12" t="s">
        <v>72</v>
      </c>
      <c r="AB21" s="11" t="s">
        <v>73</v>
      </c>
      <c r="AC21" s="12" t="s">
        <v>74</v>
      </c>
      <c r="AD21" s="11" t="s">
        <v>66</v>
      </c>
      <c r="AE21" s="12" t="s">
        <v>67</v>
      </c>
      <c r="AF21" s="14">
        <v>1.91903E-2</v>
      </c>
      <c r="AG21" s="11" t="s">
        <v>45</v>
      </c>
    </row>
    <row r="22" spans="1:33" x14ac:dyDescent="0.2">
      <c r="A22" s="8">
        <v>4130</v>
      </c>
      <c r="B22" s="9" t="s">
        <v>60</v>
      </c>
      <c r="C22" s="10">
        <v>43308</v>
      </c>
      <c r="D22" s="11">
        <v>122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75</v>
      </c>
      <c r="J22" s="12" t="s">
        <v>76</v>
      </c>
      <c r="K22" s="13" t="s">
        <v>39</v>
      </c>
      <c r="L22" s="11" t="str">
        <f>"000030"</f>
        <v>000030</v>
      </c>
      <c r="M22" s="10">
        <v>42934</v>
      </c>
      <c r="N22" s="11" t="str">
        <f>"000158"</f>
        <v>000158</v>
      </c>
      <c r="O22" s="10">
        <v>43187</v>
      </c>
      <c r="P22" s="11" t="str">
        <f>"000163"</f>
        <v>000163</v>
      </c>
      <c r="Q22" s="10">
        <v>43187</v>
      </c>
      <c r="R22" s="11">
        <v>16</v>
      </c>
      <c r="S22" s="11" t="str">
        <f>"004309"</f>
        <v>004309</v>
      </c>
      <c r="T22" s="10">
        <v>43306</v>
      </c>
      <c r="U22" s="14">
        <v>3.1338599999999999</v>
      </c>
      <c r="V22" s="14">
        <v>0.27650999999999998</v>
      </c>
      <c r="W22" s="14">
        <v>2.8573499999999998</v>
      </c>
      <c r="X22" s="11">
        <v>146</v>
      </c>
      <c r="Y22" s="10">
        <v>43308</v>
      </c>
      <c r="Z22" s="11">
        <v>0</v>
      </c>
      <c r="AA22" s="12" t="s">
        <v>77</v>
      </c>
      <c r="AB22" s="11" t="s">
        <v>73</v>
      </c>
      <c r="AC22" s="12" t="s">
        <v>74</v>
      </c>
      <c r="AD22" s="11" t="s">
        <v>66</v>
      </c>
      <c r="AE22" s="12" t="s">
        <v>67</v>
      </c>
      <c r="AF22" s="14">
        <v>3.1338600000000001E-2</v>
      </c>
      <c r="AG22" s="11" t="s">
        <v>45</v>
      </c>
    </row>
    <row r="23" spans="1:33" x14ac:dyDescent="0.2">
      <c r="A23" s="8">
        <v>6168</v>
      </c>
      <c r="B23" s="9" t="s">
        <v>78</v>
      </c>
      <c r="C23" s="10">
        <v>43385</v>
      </c>
      <c r="D23" s="11">
        <v>122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37</v>
      </c>
      <c r="J23" s="12" t="s">
        <v>38</v>
      </c>
      <c r="K23" s="13" t="s">
        <v>39</v>
      </c>
      <c r="L23" s="11" t="str">
        <f>"000011"</f>
        <v>000011</v>
      </c>
      <c r="M23" s="10">
        <v>42978</v>
      </c>
      <c r="N23" s="11" t="str">
        <f>"000012"</f>
        <v>000012</v>
      </c>
      <c r="O23" s="10">
        <v>42978</v>
      </c>
      <c r="P23" s="11" t="str">
        <f>"000016"</f>
        <v>000016</v>
      </c>
      <c r="Q23" s="10">
        <v>42978</v>
      </c>
      <c r="R23" s="11">
        <v>17</v>
      </c>
      <c r="S23" s="11" t="str">
        <f>"007145"</f>
        <v>007145</v>
      </c>
      <c r="T23" s="10">
        <v>43038</v>
      </c>
      <c r="U23" s="14">
        <v>42.636499999999998</v>
      </c>
      <c r="V23" s="14">
        <v>1.23645</v>
      </c>
      <c r="W23" s="14">
        <v>41.40005</v>
      </c>
      <c r="X23" s="11">
        <v>228</v>
      </c>
      <c r="Y23" s="10">
        <v>43385</v>
      </c>
      <c r="Z23" s="11">
        <v>9845057449</v>
      </c>
      <c r="AA23" s="12" t="s">
        <v>40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f t="shared" ref="AF23:AF58" si="4">U23/100</f>
        <v>0.42636499999999999</v>
      </c>
      <c r="AG23" s="11" t="s">
        <v>45</v>
      </c>
    </row>
    <row r="24" spans="1:33" x14ac:dyDescent="0.2">
      <c r="A24" s="8">
        <v>6169</v>
      </c>
      <c r="B24" s="9" t="s">
        <v>78</v>
      </c>
      <c r="C24" s="10">
        <v>43385</v>
      </c>
      <c r="D24" s="11">
        <v>122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37</v>
      </c>
      <c r="J24" s="12" t="s">
        <v>38</v>
      </c>
      <c r="K24" s="13" t="s">
        <v>39</v>
      </c>
      <c r="L24" s="11" t="str">
        <f>"000011"</f>
        <v>000011</v>
      </c>
      <c r="M24" s="10">
        <v>42978</v>
      </c>
      <c r="N24" s="11" t="str">
        <f>"000012"</f>
        <v>000012</v>
      </c>
      <c r="O24" s="10">
        <v>42978</v>
      </c>
      <c r="P24" s="11" t="str">
        <f>"000016"</f>
        <v>000016</v>
      </c>
      <c r="Q24" s="10">
        <v>42978</v>
      </c>
      <c r="R24" s="11">
        <v>17</v>
      </c>
      <c r="S24" s="11" t="str">
        <f>"007145"</f>
        <v>007145</v>
      </c>
      <c r="T24" s="10">
        <v>43038</v>
      </c>
      <c r="U24" s="14">
        <v>42.636499999999998</v>
      </c>
      <c r="V24" s="14">
        <v>1.23645</v>
      </c>
      <c r="W24" s="14">
        <v>41.40005</v>
      </c>
      <c r="X24" s="11">
        <v>228</v>
      </c>
      <c r="Y24" s="10">
        <v>43385</v>
      </c>
      <c r="Z24" s="11">
        <v>9845057449</v>
      </c>
      <c r="AA24" s="12" t="s">
        <v>40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f t="shared" si="4"/>
        <v>0.42636499999999999</v>
      </c>
      <c r="AG24" s="11" t="s">
        <v>45</v>
      </c>
    </row>
    <row r="25" spans="1:33" x14ac:dyDescent="0.2">
      <c r="A25" s="8">
        <v>6170</v>
      </c>
      <c r="B25" s="9" t="s">
        <v>78</v>
      </c>
      <c r="C25" s="10">
        <v>43385</v>
      </c>
      <c r="D25" s="11">
        <v>122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37</v>
      </c>
      <c r="J25" s="12" t="s">
        <v>38</v>
      </c>
      <c r="K25" s="13" t="s">
        <v>39</v>
      </c>
      <c r="L25" s="11" t="str">
        <f>"000011"</f>
        <v>000011</v>
      </c>
      <c r="M25" s="10">
        <v>42978</v>
      </c>
      <c r="N25" s="11" t="str">
        <f>"000012"</f>
        <v>000012</v>
      </c>
      <c r="O25" s="10">
        <v>42978</v>
      </c>
      <c r="P25" s="11" t="str">
        <f>"000016"</f>
        <v>000016</v>
      </c>
      <c r="Q25" s="10">
        <v>42978</v>
      </c>
      <c r="R25" s="11">
        <v>17</v>
      </c>
      <c r="S25" s="11" t="str">
        <f>"007145"</f>
        <v>007145</v>
      </c>
      <c r="T25" s="10">
        <v>43038</v>
      </c>
      <c r="U25" s="14">
        <v>55.256999999999998</v>
      </c>
      <c r="V25" s="14">
        <v>1.9886999999999999</v>
      </c>
      <c r="W25" s="14">
        <v>53.268300000000004</v>
      </c>
      <c r="X25" s="11">
        <v>232</v>
      </c>
      <c r="Y25" s="10">
        <v>43385</v>
      </c>
      <c r="Z25" s="11">
        <v>9845415599</v>
      </c>
      <c r="AA25" s="12" t="s">
        <v>40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f t="shared" si="4"/>
        <v>0.55257000000000001</v>
      </c>
      <c r="AG25" s="11" t="s">
        <v>45</v>
      </c>
    </row>
    <row r="26" spans="1:33" x14ac:dyDescent="0.2">
      <c r="A26" s="8">
        <v>6171</v>
      </c>
      <c r="B26" s="9" t="s">
        <v>78</v>
      </c>
      <c r="C26" s="10">
        <v>43385</v>
      </c>
      <c r="D26" s="11">
        <v>122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37</v>
      </c>
      <c r="J26" s="12" t="s">
        <v>38</v>
      </c>
      <c r="K26" s="13" t="s">
        <v>39</v>
      </c>
      <c r="L26" s="11" t="str">
        <f>"000011"</f>
        <v>000011</v>
      </c>
      <c r="M26" s="10">
        <v>42978</v>
      </c>
      <c r="N26" s="11" t="str">
        <f>"000012"</f>
        <v>000012</v>
      </c>
      <c r="O26" s="10">
        <v>42978</v>
      </c>
      <c r="P26" s="11" t="str">
        <f>"000016"</f>
        <v>000016</v>
      </c>
      <c r="Q26" s="10">
        <v>42978</v>
      </c>
      <c r="R26" s="11">
        <v>17</v>
      </c>
      <c r="S26" s="11" t="str">
        <f>"007145"</f>
        <v>007145</v>
      </c>
      <c r="T26" s="10">
        <v>43038</v>
      </c>
      <c r="U26" s="14">
        <v>51.04</v>
      </c>
      <c r="V26" s="14">
        <v>1.8368500000000001</v>
      </c>
      <c r="W26" s="14">
        <v>49.203150000000001</v>
      </c>
      <c r="X26" s="11">
        <v>232</v>
      </c>
      <c r="Y26" s="10">
        <v>43385</v>
      </c>
      <c r="Z26" s="11">
        <v>9845415599</v>
      </c>
      <c r="AA26" s="12" t="s">
        <v>40</v>
      </c>
      <c r="AB26" s="11" t="s">
        <v>41</v>
      </c>
      <c r="AC26" s="12" t="s">
        <v>42</v>
      </c>
      <c r="AD26" s="11" t="s">
        <v>43</v>
      </c>
      <c r="AE26" s="12" t="s">
        <v>44</v>
      </c>
      <c r="AF26" s="14">
        <f t="shared" si="4"/>
        <v>0.51039999999999996</v>
      </c>
      <c r="AG26" s="11" t="s">
        <v>45</v>
      </c>
    </row>
    <row r="27" spans="1:33" x14ac:dyDescent="0.2">
      <c r="A27" s="8">
        <v>6172</v>
      </c>
      <c r="B27" s="9" t="s">
        <v>78</v>
      </c>
      <c r="C27" s="10">
        <v>43385</v>
      </c>
      <c r="D27" s="11">
        <v>122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37</v>
      </c>
      <c r="J27" s="12" t="s">
        <v>38</v>
      </c>
      <c r="K27" s="13" t="s">
        <v>39</v>
      </c>
      <c r="L27" s="11" t="str">
        <f>"000011"</f>
        <v>000011</v>
      </c>
      <c r="M27" s="10">
        <v>42978</v>
      </c>
      <c r="N27" s="11" t="str">
        <f>"000012"</f>
        <v>000012</v>
      </c>
      <c r="O27" s="10">
        <v>42978</v>
      </c>
      <c r="P27" s="11" t="str">
        <f>"000016"</f>
        <v>000016</v>
      </c>
      <c r="Q27" s="10">
        <v>42978</v>
      </c>
      <c r="R27" s="11">
        <v>17</v>
      </c>
      <c r="S27" s="11" t="str">
        <f>"007145"</f>
        <v>007145</v>
      </c>
      <c r="T27" s="10">
        <v>43038</v>
      </c>
      <c r="U27" s="14">
        <v>18.77</v>
      </c>
      <c r="V27" s="14">
        <v>0.67620000000000002</v>
      </c>
      <c r="W27" s="14">
        <v>18.093800000000002</v>
      </c>
      <c r="X27" s="11">
        <v>233</v>
      </c>
      <c r="Y27" s="10">
        <v>43385</v>
      </c>
      <c r="Z27" s="11">
        <v>9845415599</v>
      </c>
      <c r="AA27" s="12" t="s">
        <v>40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f t="shared" si="4"/>
        <v>0.18770000000000001</v>
      </c>
      <c r="AG27" s="11" t="s">
        <v>45</v>
      </c>
    </row>
    <row r="28" spans="1:33" x14ac:dyDescent="0.2">
      <c r="A28" s="8">
        <v>6854</v>
      </c>
      <c r="B28" s="9" t="s">
        <v>78</v>
      </c>
      <c r="C28" s="10">
        <v>43398</v>
      </c>
      <c r="D28" s="11">
        <v>122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79</v>
      </c>
      <c r="J28" s="12" t="s">
        <v>80</v>
      </c>
      <c r="K28" s="13" t="s">
        <v>81</v>
      </c>
      <c r="L28" s="11" t="str">
        <f>"000166"</f>
        <v>000166</v>
      </c>
      <c r="M28" s="10">
        <v>43150</v>
      </c>
      <c r="N28" s="11" t="str">
        <f>"000063"</f>
        <v>000063</v>
      </c>
      <c r="O28" s="10">
        <v>43372</v>
      </c>
      <c r="P28" s="11" t="str">
        <f>"000151"</f>
        <v>000151</v>
      </c>
      <c r="Q28" s="10">
        <v>43372</v>
      </c>
      <c r="R28" s="11">
        <v>18</v>
      </c>
      <c r="S28" s="11" t="str">
        <f>"006853"</f>
        <v>006853</v>
      </c>
      <c r="T28" s="10">
        <v>43393</v>
      </c>
      <c r="U28" s="14">
        <v>18.731000000000002</v>
      </c>
      <c r="V28" s="14">
        <v>1.7982499999999999</v>
      </c>
      <c r="W28" s="14">
        <v>16.932749999999999</v>
      </c>
      <c r="X28" s="11">
        <v>247</v>
      </c>
      <c r="Y28" s="10">
        <v>43398</v>
      </c>
      <c r="Z28" s="11">
        <v>9900074879</v>
      </c>
      <c r="AA28" s="12" t="s">
        <v>82</v>
      </c>
      <c r="AB28" s="11" t="s">
        <v>83</v>
      </c>
      <c r="AC28" s="12" t="s">
        <v>84</v>
      </c>
      <c r="AD28" s="11" t="s">
        <v>43</v>
      </c>
      <c r="AE28" s="12" t="s">
        <v>44</v>
      </c>
      <c r="AF28" s="14">
        <f t="shared" si="4"/>
        <v>0.18731</v>
      </c>
      <c r="AG28" s="11" t="s">
        <v>85</v>
      </c>
    </row>
    <row r="29" spans="1:33" x14ac:dyDescent="0.2">
      <c r="A29" s="8">
        <v>7246</v>
      </c>
      <c r="B29" s="9" t="s">
        <v>86</v>
      </c>
      <c r="C29" s="10">
        <v>43420</v>
      </c>
      <c r="D29" s="11">
        <v>122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87</v>
      </c>
      <c r="J29" s="12" t="s">
        <v>88</v>
      </c>
      <c r="K29" s="13" t="s">
        <v>39</v>
      </c>
      <c r="L29" s="11" t="str">
        <f>"000091"</f>
        <v>000091</v>
      </c>
      <c r="M29" s="10">
        <v>43383</v>
      </c>
      <c r="N29" s="11" t="str">
        <f>"000129"</f>
        <v>000129</v>
      </c>
      <c r="O29" s="10">
        <v>43407</v>
      </c>
      <c r="P29" s="11" t="str">
        <f>"000130"</f>
        <v>000130</v>
      </c>
      <c r="Q29" s="10">
        <v>43407</v>
      </c>
      <c r="R29" s="11">
        <v>19</v>
      </c>
      <c r="S29" s="11" t="str">
        <f>"007334"</f>
        <v>007334</v>
      </c>
      <c r="T29" s="10">
        <v>43418</v>
      </c>
      <c r="U29" s="14">
        <v>19.989139999999999</v>
      </c>
      <c r="V29" s="14">
        <v>2.4757899999999999</v>
      </c>
      <c r="W29" s="14">
        <v>17.513349999999999</v>
      </c>
      <c r="X29" s="11">
        <v>263</v>
      </c>
      <c r="Y29" s="10">
        <v>43420</v>
      </c>
      <c r="Z29" s="11">
        <v>0</v>
      </c>
      <c r="AA29" s="12" t="s">
        <v>89</v>
      </c>
      <c r="AB29" s="11" t="s">
        <v>83</v>
      </c>
      <c r="AC29" s="12" t="s">
        <v>84</v>
      </c>
      <c r="AD29" s="11" t="s">
        <v>66</v>
      </c>
      <c r="AE29" s="12" t="s">
        <v>67</v>
      </c>
      <c r="AF29" s="14">
        <f t="shared" si="4"/>
        <v>0.1998914</v>
      </c>
      <c r="AG29" s="11" t="s">
        <v>90</v>
      </c>
    </row>
    <row r="30" spans="1:33" x14ac:dyDescent="0.2">
      <c r="A30" s="8">
        <v>7247</v>
      </c>
      <c r="B30" s="9" t="s">
        <v>86</v>
      </c>
      <c r="C30" s="10">
        <v>43420</v>
      </c>
      <c r="D30" s="11">
        <v>122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91</v>
      </c>
      <c r="J30" s="12" t="s">
        <v>92</v>
      </c>
      <c r="K30" s="13" t="s">
        <v>39</v>
      </c>
      <c r="L30" s="11" t="str">
        <f>"000089"</f>
        <v>000089</v>
      </c>
      <c r="M30" s="10">
        <v>43383</v>
      </c>
      <c r="N30" s="11" t="str">
        <f>"000130"</f>
        <v>000130</v>
      </c>
      <c r="O30" s="10">
        <v>43407</v>
      </c>
      <c r="P30" s="11" t="str">
        <f>"000131"</f>
        <v>000131</v>
      </c>
      <c r="Q30" s="10">
        <v>43407</v>
      </c>
      <c r="R30" s="11">
        <v>19</v>
      </c>
      <c r="S30" s="11" t="str">
        <f>"007335"</f>
        <v>007335</v>
      </c>
      <c r="T30" s="10">
        <v>43418</v>
      </c>
      <c r="U30" s="14">
        <v>19.989850000000001</v>
      </c>
      <c r="V30" s="14">
        <v>2.4758900000000001</v>
      </c>
      <c r="W30" s="14">
        <v>17.513960000000001</v>
      </c>
      <c r="X30" s="11">
        <v>263</v>
      </c>
      <c r="Y30" s="10">
        <v>43420</v>
      </c>
      <c r="Z30" s="11">
        <v>0</v>
      </c>
      <c r="AA30" s="12" t="s">
        <v>93</v>
      </c>
      <c r="AB30" s="11" t="s">
        <v>83</v>
      </c>
      <c r="AC30" s="12" t="s">
        <v>84</v>
      </c>
      <c r="AD30" s="11" t="s">
        <v>66</v>
      </c>
      <c r="AE30" s="12" t="s">
        <v>67</v>
      </c>
      <c r="AF30" s="14">
        <f t="shared" si="4"/>
        <v>0.19989850000000001</v>
      </c>
      <c r="AG30" s="11" t="s">
        <v>90</v>
      </c>
    </row>
    <row r="31" spans="1:33" x14ac:dyDescent="0.2">
      <c r="A31" s="8">
        <v>7248</v>
      </c>
      <c r="B31" s="9" t="s">
        <v>86</v>
      </c>
      <c r="C31" s="10">
        <v>43420</v>
      </c>
      <c r="D31" s="11">
        <v>122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94</v>
      </c>
      <c r="J31" s="12" t="s">
        <v>95</v>
      </c>
      <c r="K31" s="13" t="s">
        <v>39</v>
      </c>
      <c r="L31" s="11" t="str">
        <f>"000090"</f>
        <v>000090</v>
      </c>
      <c r="M31" s="10">
        <v>43383</v>
      </c>
      <c r="N31" s="11" t="str">
        <f>"000131"</f>
        <v>000131</v>
      </c>
      <c r="O31" s="10">
        <v>43407</v>
      </c>
      <c r="P31" s="11" t="str">
        <f>"000132"</f>
        <v>000132</v>
      </c>
      <c r="Q31" s="10">
        <v>43407</v>
      </c>
      <c r="R31" s="11">
        <v>19</v>
      </c>
      <c r="S31" s="11" t="str">
        <f>"007336"</f>
        <v>007336</v>
      </c>
      <c r="T31" s="10">
        <v>43418</v>
      </c>
      <c r="U31" s="14">
        <v>19.99184</v>
      </c>
      <c r="V31" s="14">
        <v>2.47614</v>
      </c>
      <c r="W31" s="14">
        <v>17.515699999999999</v>
      </c>
      <c r="X31" s="11">
        <v>263</v>
      </c>
      <c r="Y31" s="10">
        <v>43420</v>
      </c>
      <c r="Z31" s="11">
        <v>0</v>
      </c>
      <c r="AA31" s="12" t="s">
        <v>93</v>
      </c>
      <c r="AB31" s="11" t="s">
        <v>83</v>
      </c>
      <c r="AC31" s="12" t="s">
        <v>84</v>
      </c>
      <c r="AD31" s="11" t="s">
        <v>66</v>
      </c>
      <c r="AE31" s="12" t="s">
        <v>67</v>
      </c>
      <c r="AF31" s="14">
        <f t="shared" si="4"/>
        <v>0.1999184</v>
      </c>
      <c r="AG31" s="11" t="s">
        <v>90</v>
      </c>
    </row>
    <row r="32" spans="1:33" x14ac:dyDescent="0.2">
      <c r="A32" s="8">
        <v>7249</v>
      </c>
      <c r="B32" s="9" t="s">
        <v>86</v>
      </c>
      <c r="C32" s="10">
        <v>43420</v>
      </c>
      <c r="D32" s="11">
        <v>122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96</v>
      </c>
      <c r="J32" s="12" t="s">
        <v>97</v>
      </c>
      <c r="K32" s="13" t="s">
        <v>39</v>
      </c>
      <c r="L32" s="11" t="str">
        <f>"000095"</f>
        <v>000095</v>
      </c>
      <c r="M32" s="10">
        <v>43383</v>
      </c>
      <c r="N32" s="11" t="str">
        <f>"000132"</f>
        <v>000132</v>
      </c>
      <c r="O32" s="10">
        <v>43407</v>
      </c>
      <c r="P32" s="11" t="str">
        <f>"000133"</f>
        <v>000133</v>
      </c>
      <c r="Q32" s="10">
        <v>43407</v>
      </c>
      <c r="R32" s="11">
        <v>19</v>
      </c>
      <c r="S32" s="11" t="str">
        <f>"007337"</f>
        <v>007337</v>
      </c>
      <c r="T32" s="10">
        <v>43418</v>
      </c>
      <c r="U32" s="14">
        <v>9.9875399999999992</v>
      </c>
      <c r="V32" s="14">
        <v>1.2370300000000001</v>
      </c>
      <c r="W32" s="14">
        <v>8.7505100000000002</v>
      </c>
      <c r="X32" s="11">
        <v>263</v>
      </c>
      <c r="Y32" s="10">
        <v>43420</v>
      </c>
      <c r="Z32" s="11">
        <v>0</v>
      </c>
      <c r="AA32" s="12" t="s">
        <v>93</v>
      </c>
      <c r="AB32" s="11" t="s">
        <v>83</v>
      </c>
      <c r="AC32" s="12" t="s">
        <v>84</v>
      </c>
      <c r="AD32" s="11" t="s">
        <v>66</v>
      </c>
      <c r="AE32" s="12" t="s">
        <v>67</v>
      </c>
      <c r="AF32" s="14">
        <f t="shared" si="4"/>
        <v>9.9875399999999989E-2</v>
      </c>
      <c r="AG32" s="11" t="s">
        <v>90</v>
      </c>
    </row>
    <row r="33" spans="1:33" x14ac:dyDescent="0.2">
      <c r="A33" s="8">
        <v>7544</v>
      </c>
      <c r="B33" s="9" t="s">
        <v>98</v>
      </c>
      <c r="C33" s="10">
        <v>43437</v>
      </c>
      <c r="D33" s="11">
        <v>122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99</v>
      </c>
      <c r="J33" s="12" t="s">
        <v>100</v>
      </c>
      <c r="K33" s="13" t="s">
        <v>101</v>
      </c>
      <c r="L33" s="11" t="str">
        <f>"000152"</f>
        <v>000152</v>
      </c>
      <c r="M33" s="10">
        <v>43149</v>
      </c>
      <c r="N33" s="11" t="str">
        <f>"000067"</f>
        <v>000067</v>
      </c>
      <c r="O33" s="10">
        <v>43153</v>
      </c>
      <c r="P33" s="11" t="str">
        <f>"000142"</f>
        <v>000142</v>
      </c>
      <c r="Q33" s="10">
        <v>43154</v>
      </c>
      <c r="R33" s="11">
        <v>18</v>
      </c>
      <c r="S33" s="11" t="str">
        <f>"007488"</f>
        <v>007488</v>
      </c>
      <c r="T33" s="10">
        <v>43426</v>
      </c>
      <c r="U33" s="14">
        <v>14.952999999999999</v>
      </c>
      <c r="V33" s="14">
        <v>1.72864</v>
      </c>
      <c r="W33" s="14">
        <v>13.224360000000001</v>
      </c>
      <c r="X33" s="11">
        <v>280</v>
      </c>
      <c r="Y33" s="10">
        <v>43437</v>
      </c>
      <c r="Z33" s="11">
        <v>9901999507</v>
      </c>
      <c r="AA33" s="12" t="s">
        <v>102</v>
      </c>
      <c r="AB33" s="11" t="s">
        <v>103</v>
      </c>
      <c r="AC33" s="12" t="s">
        <v>104</v>
      </c>
      <c r="AD33" s="11" t="s">
        <v>43</v>
      </c>
      <c r="AE33" s="12" t="s">
        <v>44</v>
      </c>
      <c r="AF33" s="14">
        <f t="shared" si="4"/>
        <v>0.14953</v>
      </c>
      <c r="AG33" s="11" t="s">
        <v>45</v>
      </c>
    </row>
    <row r="34" spans="1:33" x14ac:dyDescent="0.2">
      <c r="A34" s="8">
        <v>7545</v>
      </c>
      <c r="B34" s="9" t="s">
        <v>98</v>
      </c>
      <c r="C34" s="10">
        <v>43437</v>
      </c>
      <c r="D34" s="11">
        <v>122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105</v>
      </c>
      <c r="J34" s="12" t="s">
        <v>106</v>
      </c>
      <c r="K34" s="13" t="s">
        <v>101</v>
      </c>
      <c r="L34" s="11" t="str">
        <f>"000155"</f>
        <v>000155</v>
      </c>
      <c r="M34" s="10">
        <v>43149</v>
      </c>
      <c r="N34" s="11" t="str">
        <f>"000068"</f>
        <v>000068</v>
      </c>
      <c r="O34" s="10">
        <v>43153</v>
      </c>
      <c r="P34" s="11" t="str">
        <f>"000143"</f>
        <v>000143</v>
      </c>
      <c r="Q34" s="10">
        <v>43154</v>
      </c>
      <c r="R34" s="11">
        <v>18</v>
      </c>
      <c r="S34" s="11" t="str">
        <f>"007489"</f>
        <v>007489</v>
      </c>
      <c r="T34" s="10">
        <v>43426</v>
      </c>
      <c r="U34" s="14">
        <v>18.959</v>
      </c>
      <c r="V34" s="14">
        <v>2.294</v>
      </c>
      <c r="W34" s="14">
        <v>16.664999999999999</v>
      </c>
      <c r="X34" s="11">
        <v>280</v>
      </c>
      <c r="Y34" s="10">
        <v>43437</v>
      </c>
      <c r="Z34" s="11">
        <v>9901999507</v>
      </c>
      <c r="AA34" s="12" t="s">
        <v>102</v>
      </c>
      <c r="AB34" s="11" t="s">
        <v>103</v>
      </c>
      <c r="AC34" s="12" t="s">
        <v>104</v>
      </c>
      <c r="AD34" s="11" t="s">
        <v>43</v>
      </c>
      <c r="AE34" s="12" t="s">
        <v>44</v>
      </c>
      <c r="AF34" s="14">
        <f t="shared" si="4"/>
        <v>0.18959000000000001</v>
      </c>
      <c r="AG34" s="11" t="s">
        <v>45</v>
      </c>
    </row>
    <row r="35" spans="1:33" x14ac:dyDescent="0.2">
      <c r="A35" s="8">
        <v>7546</v>
      </c>
      <c r="B35" s="9" t="s">
        <v>98</v>
      </c>
      <c r="C35" s="10">
        <v>43437</v>
      </c>
      <c r="D35" s="11">
        <v>122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107</v>
      </c>
      <c r="J35" s="12" t="s">
        <v>108</v>
      </c>
      <c r="K35" s="13" t="s">
        <v>101</v>
      </c>
      <c r="L35" s="11" t="str">
        <f>"000157"</f>
        <v>000157</v>
      </c>
      <c r="M35" s="10">
        <v>43149</v>
      </c>
      <c r="N35" s="11" t="str">
        <f>"000069"</f>
        <v>000069</v>
      </c>
      <c r="O35" s="10">
        <v>43153</v>
      </c>
      <c r="P35" s="11" t="str">
        <f>"000144"</f>
        <v>000144</v>
      </c>
      <c r="Q35" s="10">
        <v>43154</v>
      </c>
      <c r="R35" s="11">
        <v>18</v>
      </c>
      <c r="S35" s="11" t="str">
        <f>"007490"</f>
        <v>007490</v>
      </c>
      <c r="T35" s="10">
        <v>43426</v>
      </c>
      <c r="U35" s="14">
        <v>19.946000000000002</v>
      </c>
      <c r="V35" s="14">
        <v>2.4137</v>
      </c>
      <c r="W35" s="14">
        <v>17.532299999999999</v>
      </c>
      <c r="X35" s="11">
        <v>280</v>
      </c>
      <c r="Y35" s="10">
        <v>43437</v>
      </c>
      <c r="Z35" s="11">
        <v>9901999507</v>
      </c>
      <c r="AA35" s="12" t="s">
        <v>102</v>
      </c>
      <c r="AB35" s="11" t="s">
        <v>103</v>
      </c>
      <c r="AC35" s="12" t="s">
        <v>104</v>
      </c>
      <c r="AD35" s="11" t="s">
        <v>43</v>
      </c>
      <c r="AE35" s="12" t="s">
        <v>44</v>
      </c>
      <c r="AF35" s="14">
        <f t="shared" si="4"/>
        <v>0.19946000000000003</v>
      </c>
      <c r="AG35" s="11" t="s">
        <v>45</v>
      </c>
    </row>
    <row r="36" spans="1:33" x14ac:dyDescent="0.2">
      <c r="A36" s="8">
        <v>7547</v>
      </c>
      <c r="B36" s="9" t="s">
        <v>98</v>
      </c>
      <c r="C36" s="10">
        <v>43437</v>
      </c>
      <c r="D36" s="11">
        <v>122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109</v>
      </c>
      <c r="J36" s="12" t="s">
        <v>110</v>
      </c>
      <c r="K36" s="13" t="s">
        <v>101</v>
      </c>
      <c r="L36" s="11" t="str">
        <f>"000149"</f>
        <v>000149</v>
      </c>
      <c r="M36" s="10">
        <v>43149</v>
      </c>
      <c r="N36" s="11" t="str">
        <f>"000060"</f>
        <v>000060</v>
      </c>
      <c r="O36" s="10">
        <v>43152</v>
      </c>
      <c r="P36" s="11" t="str">
        <f>"000145"</f>
        <v>000145</v>
      </c>
      <c r="Q36" s="10">
        <v>43154</v>
      </c>
      <c r="R36" s="11">
        <v>18</v>
      </c>
      <c r="S36" s="11" t="str">
        <f>"007492"</f>
        <v>007492</v>
      </c>
      <c r="T36" s="10">
        <v>43426</v>
      </c>
      <c r="U36" s="14">
        <v>17.943999999999999</v>
      </c>
      <c r="V36" s="14">
        <v>2.1714500000000001</v>
      </c>
      <c r="W36" s="14">
        <v>15.772550000000001</v>
      </c>
      <c r="X36" s="11">
        <v>280</v>
      </c>
      <c r="Y36" s="10">
        <v>43437</v>
      </c>
      <c r="Z36" s="11">
        <v>9901999507</v>
      </c>
      <c r="AA36" s="12" t="s">
        <v>102</v>
      </c>
      <c r="AB36" s="11" t="s">
        <v>103</v>
      </c>
      <c r="AC36" s="12" t="s">
        <v>104</v>
      </c>
      <c r="AD36" s="11" t="s">
        <v>43</v>
      </c>
      <c r="AE36" s="12" t="s">
        <v>44</v>
      </c>
      <c r="AF36" s="14">
        <f t="shared" si="4"/>
        <v>0.17943999999999999</v>
      </c>
      <c r="AG36" s="11" t="s">
        <v>45</v>
      </c>
    </row>
    <row r="37" spans="1:33" x14ac:dyDescent="0.2">
      <c r="A37" s="8">
        <v>7548</v>
      </c>
      <c r="B37" s="9" t="s">
        <v>98</v>
      </c>
      <c r="C37" s="10">
        <v>43437</v>
      </c>
      <c r="D37" s="11">
        <v>122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111</v>
      </c>
      <c r="J37" s="12" t="s">
        <v>112</v>
      </c>
      <c r="K37" s="13" t="s">
        <v>101</v>
      </c>
      <c r="L37" s="11" t="str">
        <f>"000163"</f>
        <v>000163</v>
      </c>
      <c r="M37" s="10">
        <v>43149</v>
      </c>
      <c r="N37" s="11" t="str">
        <f>"000061"</f>
        <v>000061</v>
      </c>
      <c r="O37" s="10">
        <v>43153</v>
      </c>
      <c r="P37" s="11" t="str">
        <f>"000146"</f>
        <v>000146</v>
      </c>
      <c r="Q37" s="10">
        <v>43154</v>
      </c>
      <c r="R37" s="11">
        <v>18</v>
      </c>
      <c r="S37" s="11" t="str">
        <f>"007493"</f>
        <v>007493</v>
      </c>
      <c r="T37" s="10">
        <v>43426</v>
      </c>
      <c r="U37" s="14">
        <v>19.93</v>
      </c>
      <c r="V37" s="14">
        <v>2.4115500000000001</v>
      </c>
      <c r="W37" s="14">
        <v>17.518450000000001</v>
      </c>
      <c r="X37" s="11">
        <v>280</v>
      </c>
      <c r="Y37" s="10">
        <v>43437</v>
      </c>
      <c r="Z37" s="11">
        <v>9901999507</v>
      </c>
      <c r="AA37" s="12" t="s">
        <v>102</v>
      </c>
      <c r="AB37" s="11" t="s">
        <v>103</v>
      </c>
      <c r="AC37" s="12" t="s">
        <v>104</v>
      </c>
      <c r="AD37" s="11" t="s">
        <v>43</v>
      </c>
      <c r="AE37" s="12" t="s">
        <v>44</v>
      </c>
      <c r="AF37" s="14">
        <f t="shared" si="4"/>
        <v>0.1993</v>
      </c>
      <c r="AG37" s="11" t="s">
        <v>45</v>
      </c>
    </row>
    <row r="38" spans="1:33" x14ac:dyDescent="0.2">
      <c r="A38" s="8">
        <v>7549</v>
      </c>
      <c r="B38" s="9" t="s">
        <v>98</v>
      </c>
      <c r="C38" s="10">
        <v>43437</v>
      </c>
      <c r="D38" s="11">
        <v>122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113</v>
      </c>
      <c r="J38" s="12" t="s">
        <v>114</v>
      </c>
      <c r="K38" s="13" t="s">
        <v>101</v>
      </c>
      <c r="L38" s="11" t="str">
        <f>"000158"</f>
        <v>000158</v>
      </c>
      <c r="M38" s="10">
        <v>43149</v>
      </c>
      <c r="N38" s="11" t="str">
        <f>"000063"</f>
        <v>000063</v>
      </c>
      <c r="O38" s="10">
        <v>43153</v>
      </c>
      <c r="P38" s="11" t="str">
        <f>"000148"</f>
        <v>000148</v>
      </c>
      <c r="Q38" s="10">
        <v>43154</v>
      </c>
      <c r="R38" s="11">
        <v>18</v>
      </c>
      <c r="S38" s="11" t="str">
        <f>"007495"</f>
        <v>007495</v>
      </c>
      <c r="T38" s="10">
        <v>43426</v>
      </c>
      <c r="U38" s="14">
        <v>14.96345</v>
      </c>
      <c r="V38" s="14">
        <v>1.7361899999999999</v>
      </c>
      <c r="W38" s="14">
        <v>13.227259999999999</v>
      </c>
      <c r="X38" s="11">
        <v>280</v>
      </c>
      <c r="Y38" s="10">
        <v>43437</v>
      </c>
      <c r="Z38" s="11">
        <v>9901999507</v>
      </c>
      <c r="AA38" s="12" t="s">
        <v>102</v>
      </c>
      <c r="AB38" s="11" t="s">
        <v>103</v>
      </c>
      <c r="AC38" s="12" t="s">
        <v>104</v>
      </c>
      <c r="AD38" s="11" t="s">
        <v>43</v>
      </c>
      <c r="AE38" s="12" t="s">
        <v>44</v>
      </c>
      <c r="AF38" s="14">
        <f t="shared" si="4"/>
        <v>0.1496345</v>
      </c>
      <c r="AG38" s="11" t="s">
        <v>45</v>
      </c>
    </row>
    <row r="39" spans="1:33" x14ac:dyDescent="0.2">
      <c r="A39" s="8">
        <v>7550</v>
      </c>
      <c r="B39" s="9" t="s">
        <v>98</v>
      </c>
      <c r="C39" s="10">
        <v>43437</v>
      </c>
      <c r="D39" s="11">
        <v>122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115</v>
      </c>
      <c r="J39" s="12" t="s">
        <v>116</v>
      </c>
      <c r="K39" s="13" t="s">
        <v>101</v>
      </c>
      <c r="L39" s="11" t="str">
        <f>"000154"</f>
        <v>000154</v>
      </c>
      <c r="M39" s="10">
        <v>43149</v>
      </c>
      <c r="N39" s="11" t="str">
        <f>"000070"</f>
        <v>000070</v>
      </c>
      <c r="O39" s="10">
        <v>43153</v>
      </c>
      <c r="P39" s="11" t="str">
        <f>"000149"</f>
        <v>000149</v>
      </c>
      <c r="Q39" s="10">
        <v>43154</v>
      </c>
      <c r="R39" s="11">
        <v>18</v>
      </c>
      <c r="S39" s="11" t="str">
        <f>"007496"</f>
        <v>007496</v>
      </c>
      <c r="T39" s="10">
        <v>43426</v>
      </c>
      <c r="U39" s="14">
        <v>19.942</v>
      </c>
      <c r="V39" s="14">
        <v>2.4131499999999999</v>
      </c>
      <c r="W39" s="14">
        <v>17.528849999999998</v>
      </c>
      <c r="X39" s="11">
        <v>280</v>
      </c>
      <c r="Y39" s="10">
        <v>43437</v>
      </c>
      <c r="Z39" s="11">
        <v>9901999507</v>
      </c>
      <c r="AA39" s="12" t="s">
        <v>102</v>
      </c>
      <c r="AB39" s="11" t="s">
        <v>103</v>
      </c>
      <c r="AC39" s="12" t="s">
        <v>104</v>
      </c>
      <c r="AD39" s="11" t="s">
        <v>43</v>
      </c>
      <c r="AE39" s="12" t="s">
        <v>44</v>
      </c>
      <c r="AF39" s="14">
        <f t="shared" si="4"/>
        <v>0.19942000000000001</v>
      </c>
      <c r="AG39" s="11" t="s">
        <v>45</v>
      </c>
    </row>
    <row r="40" spans="1:33" x14ac:dyDescent="0.2">
      <c r="A40" s="8">
        <v>7551</v>
      </c>
      <c r="B40" s="9" t="s">
        <v>98</v>
      </c>
      <c r="C40" s="10">
        <v>43437</v>
      </c>
      <c r="D40" s="11">
        <v>122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117</v>
      </c>
      <c r="J40" s="12" t="s">
        <v>118</v>
      </c>
      <c r="K40" s="13" t="s">
        <v>101</v>
      </c>
      <c r="L40" s="11" t="str">
        <f>"000159"</f>
        <v>000159</v>
      </c>
      <c r="M40" s="10">
        <v>43149</v>
      </c>
      <c r="N40" s="11" t="str">
        <f>"000072"</f>
        <v>000072</v>
      </c>
      <c r="O40" s="10">
        <v>43153</v>
      </c>
      <c r="P40" s="11" t="str">
        <f>"000151"</f>
        <v>000151</v>
      </c>
      <c r="Q40" s="10">
        <v>43154</v>
      </c>
      <c r="R40" s="11">
        <v>18</v>
      </c>
      <c r="S40" s="11" t="str">
        <f>"007498"</f>
        <v>007498</v>
      </c>
      <c r="T40" s="10">
        <v>43426</v>
      </c>
      <c r="U40" s="14">
        <v>19.97</v>
      </c>
      <c r="V40" s="14">
        <v>2.41635</v>
      </c>
      <c r="W40" s="14">
        <v>17.553650000000001</v>
      </c>
      <c r="X40" s="11">
        <v>280</v>
      </c>
      <c r="Y40" s="10">
        <v>43437</v>
      </c>
      <c r="Z40" s="11">
        <v>9901999507</v>
      </c>
      <c r="AA40" s="12" t="s">
        <v>102</v>
      </c>
      <c r="AB40" s="11" t="s">
        <v>103</v>
      </c>
      <c r="AC40" s="12" t="s">
        <v>104</v>
      </c>
      <c r="AD40" s="11" t="s">
        <v>43</v>
      </c>
      <c r="AE40" s="12" t="s">
        <v>44</v>
      </c>
      <c r="AF40" s="14">
        <f t="shared" si="4"/>
        <v>0.19969999999999999</v>
      </c>
      <c r="AG40" s="11" t="s">
        <v>45</v>
      </c>
    </row>
    <row r="41" spans="1:33" x14ac:dyDescent="0.2">
      <c r="A41" s="8">
        <v>7552</v>
      </c>
      <c r="B41" s="9" t="s">
        <v>98</v>
      </c>
      <c r="C41" s="10">
        <v>43437</v>
      </c>
      <c r="D41" s="11">
        <v>122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119</v>
      </c>
      <c r="J41" s="12" t="s">
        <v>120</v>
      </c>
      <c r="K41" s="13" t="s">
        <v>101</v>
      </c>
      <c r="L41" s="11" t="str">
        <f>"000162"</f>
        <v>000162</v>
      </c>
      <c r="M41" s="10">
        <v>43149</v>
      </c>
      <c r="N41" s="11" t="str">
        <f>"000074"</f>
        <v>000074</v>
      </c>
      <c r="O41" s="10">
        <v>43153</v>
      </c>
      <c r="P41" s="11" t="str">
        <f>"000153"</f>
        <v>000153</v>
      </c>
      <c r="Q41" s="10">
        <v>43154</v>
      </c>
      <c r="R41" s="11">
        <v>18</v>
      </c>
      <c r="S41" s="11" t="str">
        <f>"007500"</f>
        <v>007500</v>
      </c>
      <c r="T41" s="10">
        <v>43426</v>
      </c>
      <c r="U41" s="14">
        <v>19.956</v>
      </c>
      <c r="V41" s="14">
        <v>2.41506</v>
      </c>
      <c r="W41" s="14">
        <v>17.540939999999999</v>
      </c>
      <c r="X41" s="11">
        <v>280</v>
      </c>
      <c r="Y41" s="10">
        <v>43437</v>
      </c>
      <c r="Z41" s="11">
        <v>9901999507</v>
      </c>
      <c r="AA41" s="12" t="s">
        <v>102</v>
      </c>
      <c r="AB41" s="11" t="s">
        <v>103</v>
      </c>
      <c r="AC41" s="12" t="s">
        <v>104</v>
      </c>
      <c r="AD41" s="11" t="s">
        <v>43</v>
      </c>
      <c r="AE41" s="12" t="s">
        <v>44</v>
      </c>
      <c r="AF41" s="14">
        <f t="shared" si="4"/>
        <v>0.19955999999999999</v>
      </c>
      <c r="AG41" s="11" t="s">
        <v>45</v>
      </c>
    </row>
    <row r="42" spans="1:33" x14ac:dyDescent="0.2">
      <c r="A42" s="8">
        <v>7553</v>
      </c>
      <c r="B42" s="9" t="s">
        <v>98</v>
      </c>
      <c r="C42" s="10">
        <v>43437</v>
      </c>
      <c r="D42" s="11">
        <v>122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121</v>
      </c>
      <c r="J42" s="12" t="s">
        <v>122</v>
      </c>
      <c r="K42" s="13" t="s">
        <v>101</v>
      </c>
      <c r="L42" s="11" t="str">
        <f>"000161"</f>
        <v>000161</v>
      </c>
      <c r="M42" s="10">
        <v>43149</v>
      </c>
      <c r="N42" s="11" t="str">
        <f>"000075"</f>
        <v>000075</v>
      </c>
      <c r="O42" s="10">
        <v>43153</v>
      </c>
      <c r="P42" s="11" t="str">
        <f>"000154"</f>
        <v>000154</v>
      </c>
      <c r="Q42" s="10">
        <v>43154</v>
      </c>
      <c r="R42" s="11">
        <v>18</v>
      </c>
      <c r="S42" s="11" t="str">
        <f>"007501"</f>
        <v>007501</v>
      </c>
      <c r="T42" s="10">
        <v>43426</v>
      </c>
      <c r="U42" s="14">
        <v>19.923999999999999</v>
      </c>
      <c r="V42" s="14">
        <v>2.4108499999999999</v>
      </c>
      <c r="W42" s="14">
        <v>17.51315</v>
      </c>
      <c r="X42" s="11">
        <v>280</v>
      </c>
      <c r="Y42" s="10">
        <v>43437</v>
      </c>
      <c r="Z42" s="11">
        <v>9901999507</v>
      </c>
      <c r="AA42" s="12" t="s">
        <v>102</v>
      </c>
      <c r="AB42" s="11" t="s">
        <v>103</v>
      </c>
      <c r="AC42" s="12" t="s">
        <v>104</v>
      </c>
      <c r="AD42" s="11" t="s">
        <v>43</v>
      </c>
      <c r="AE42" s="12" t="s">
        <v>44</v>
      </c>
      <c r="AF42" s="14">
        <f t="shared" si="4"/>
        <v>0.19924</v>
      </c>
      <c r="AG42" s="11" t="s">
        <v>45</v>
      </c>
    </row>
    <row r="43" spans="1:33" x14ac:dyDescent="0.2">
      <c r="A43" s="8">
        <v>7554</v>
      </c>
      <c r="B43" s="9" t="s">
        <v>98</v>
      </c>
      <c r="C43" s="10">
        <v>43437</v>
      </c>
      <c r="D43" s="11">
        <v>122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123</v>
      </c>
      <c r="J43" s="12" t="s">
        <v>124</v>
      </c>
      <c r="K43" s="13" t="s">
        <v>101</v>
      </c>
      <c r="L43" s="11" t="str">
        <f>"000151"</f>
        <v>000151</v>
      </c>
      <c r="M43" s="10">
        <v>43149</v>
      </c>
      <c r="N43" s="11" t="str">
        <f>"000066"</f>
        <v>000066</v>
      </c>
      <c r="O43" s="10">
        <v>43153</v>
      </c>
      <c r="P43" s="11" t="str">
        <f>"000141"</f>
        <v>000141</v>
      </c>
      <c r="Q43" s="10">
        <v>43154</v>
      </c>
      <c r="R43" s="11">
        <v>18</v>
      </c>
      <c r="S43" s="11" t="str">
        <f>"007504"</f>
        <v>007504</v>
      </c>
      <c r="T43" s="10">
        <v>43426</v>
      </c>
      <c r="U43" s="14">
        <v>19.948</v>
      </c>
      <c r="V43" s="14">
        <v>2.4142000000000001</v>
      </c>
      <c r="W43" s="14">
        <v>17.533799999999999</v>
      </c>
      <c r="X43" s="11">
        <v>280</v>
      </c>
      <c r="Y43" s="10">
        <v>43437</v>
      </c>
      <c r="Z43" s="11">
        <v>9901999507</v>
      </c>
      <c r="AA43" s="12" t="s">
        <v>102</v>
      </c>
      <c r="AB43" s="11" t="s">
        <v>103</v>
      </c>
      <c r="AC43" s="12" t="s">
        <v>104</v>
      </c>
      <c r="AD43" s="11" t="s">
        <v>43</v>
      </c>
      <c r="AE43" s="12" t="s">
        <v>44</v>
      </c>
      <c r="AF43" s="14">
        <f t="shared" si="4"/>
        <v>0.19947999999999999</v>
      </c>
      <c r="AG43" s="11" t="s">
        <v>45</v>
      </c>
    </row>
    <row r="44" spans="1:33" x14ac:dyDescent="0.2">
      <c r="A44" s="8">
        <v>7555</v>
      </c>
      <c r="B44" s="9" t="s">
        <v>98</v>
      </c>
      <c r="C44" s="10">
        <v>43437</v>
      </c>
      <c r="D44" s="11">
        <v>122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125</v>
      </c>
      <c r="J44" s="12" t="s">
        <v>126</v>
      </c>
      <c r="K44" s="13" t="s">
        <v>101</v>
      </c>
      <c r="L44" s="11" t="str">
        <f>"000143"</f>
        <v>000143</v>
      </c>
      <c r="M44" s="10">
        <v>43149</v>
      </c>
      <c r="N44" s="11" t="str">
        <f>"000079"</f>
        <v>000079</v>
      </c>
      <c r="O44" s="10">
        <v>43154</v>
      </c>
      <c r="P44" s="11" t="str">
        <f>"000156"</f>
        <v>000156</v>
      </c>
      <c r="Q44" s="10">
        <v>43167</v>
      </c>
      <c r="R44" s="11">
        <v>18</v>
      </c>
      <c r="S44" s="11" t="str">
        <f>"007565"</f>
        <v>007565</v>
      </c>
      <c r="T44" s="10">
        <v>43427</v>
      </c>
      <c r="U44" s="14">
        <v>19.949000000000002</v>
      </c>
      <c r="V44" s="14">
        <v>2.4138999999999999</v>
      </c>
      <c r="W44" s="14">
        <v>17.5351</v>
      </c>
      <c r="X44" s="11">
        <v>280</v>
      </c>
      <c r="Y44" s="10">
        <v>43437</v>
      </c>
      <c r="Z44" s="11">
        <v>9901999507</v>
      </c>
      <c r="AA44" s="12" t="s">
        <v>102</v>
      </c>
      <c r="AB44" s="11" t="s">
        <v>103</v>
      </c>
      <c r="AC44" s="12" t="s">
        <v>104</v>
      </c>
      <c r="AD44" s="11" t="s">
        <v>43</v>
      </c>
      <c r="AE44" s="12" t="s">
        <v>44</v>
      </c>
      <c r="AF44" s="14">
        <f t="shared" si="4"/>
        <v>0.19949000000000003</v>
      </c>
      <c r="AG44" s="11" t="s">
        <v>45</v>
      </c>
    </row>
    <row r="45" spans="1:33" x14ac:dyDescent="0.2">
      <c r="A45" s="8">
        <v>7556</v>
      </c>
      <c r="B45" s="9" t="s">
        <v>98</v>
      </c>
      <c r="C45" s="10">
        <v>43437</v>
      </c>
      <c r="D45" s="11">
        <v>122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127</v>
      </c>
      <c r="J45" s="12" t="s">
        <v>128</v>
      </c>
      <c r="K45" s="13" t="s">
        <v>101</v>
      </c>
      <c r="L45" s="11" t="str">
        <f>"000138"</f>
        <v>000138</v>
      </c>
      <c r="M45" s="10">
        <v>43149</v>
      </c>
      <c r="N45" s="11" t="str">
        <f>"000083"</f>
        <v>000083</v>
      </c>
      <c r="O45" s="10">
        <v>43154</v>
      </c>
      <c r="P45" s="11" t="str">
        <f>"000158"</f>
        <v>000158</v>
      </c>
      <c r="Q45" s="10">
        <v>43167</v>
      </c>
      <c r="R45" s="11">
        <v>18</v>
      </c>
      <c r="S45" s="11" t="str">
        <f>"007566"</f>
        <v>007566</v>
      </c>
      <c r="T45" s="10">
        <v>43427</v>
      </c>
      <c r="U45" s="14">
        <v>19.959</v>
      </c>
      <c r="V45" s="14">
        <v>2.41526</v>
      </c>
      <c r="W45" s="14">
        <v>17.54374</v>
      </c>
      <c r="X45" s="11">
        <v>280</v>
      </c>
      <c r="Y45" s="10">
        <v>43437</v>
      </c>
      <c r="Z45" s="11">
        <v>9901999507</v>
      </c>
      <c r="AA45" s="12" t="s">
        <v>102</v>
      </c>
      <c r="AB45" s="11" t="s">
        <v>103</v>
      </c>
      <c r="AC45" s="12" t="s">
        <v>104</v>
      </c>
      <c r="AD45" s="11" t="s">
        <v>43</v>
      </c>
      <c r="AE45" s="12" t="s">
        <v>44</v>
      </c>
      <c r="AF45" s="14">
        <f t="shared" si="4"/>
        <v>0.19958999999999999</v>
      </c>
      <c r="AG45" s="11" t="s">
        <v>45</v>
      </c>
    </row>
    <row r="46" spans="1:33" x14ac:dyDescent="0.2">
      <c r="A46" s="8">
        <v>7557</v>
      </c>
      <c r="B46" s="9" t="s">
        <v>98</v>
      </c>
      <c r="C46" s="10">
        <v>43437</v>
      </c>
      <c r="D46" s="11">
        <v>122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129</v>
      </c>
      <c r="J46" s="12" t="s">
        <v>130</v>
      </c>
      <c r="K46" s="13" t="s">
        <v>101</v>
      </c>
      <c r="L46" s="11" t="str">
        <f>"000137"</f>
        <v>000137</v>
      </c>
      <c r="M46" s="10">
        <v>43149</v>
      </c>
      <c r="N46" s="11" t="str">
        <f>"000082"</f>
        <v>000082</v>
      </c>
      <c r="O46" s="10">
        <v>43154</v>
      </c>
      <c r="P46" s="11" t="str">
        <f>"000159"</f>
        <v>000159</v>
      </c>
      <c r="Q46" s="10">
        <v>43167</v>
      </c>
      <c r="R46" s="11">
        <v>18</v>
      </c>
      <c r="S46" s="11" t="str">
        <f>"007567"</f>
        <v>007567</v>
      </c>
      <c r="T46" s="10">
        <v>43427</v>
      </c>
      <c r="U46" s="14">
        <v>19.959</v>
      </c>
      <c r="V46" s="14">
        <v>2.2776000000000001</v>
      </c>
      <c r="W46" s="14">
        <v>17.6814</v>
      </c>
      <c r="X46" s="11">
        <v>280</v>
      </c>
      <c r="Y46" s="10">
        <v>43437</v>
      </c>
      <c r="Z46" s="11">
        <v>9901999507</v>
      </c>
      <c r="AA46" s="12" t="s">
        <v>102</v>
      </c>
      <c r="AB46" s="11" t="s">
        <v>103</v>
      </c>
      <c r="AC46" s="12" t="s">
        <v>104</v>
      </c>
      <c r="AD46" s="11" t="s">
        <v>43</v>
      </c>
      <c r="AE46" s="12" t="s">
        <v>44</v>
      </c>
      <c r="AF46" s="14">
        <f t="shared" si="4"/>
        <v>0.19958999999999999</v>
      </c>
      <c r="AG46" s="11" t="s">
        <v>45</v>
      </c>
    </row>
    <row r="47" spans="1:33" x14ac:dyDescent="0.2">
      <c r="A47" s="8">
        <v>7558</v>
      </c>
      <c r="B47" s="9" t="s">
        <v>98</v>
      </c>
      <c r="C47" s="10">
        <v>43437</v>
      </c>
      <c r="D47" s="11">
        <v>122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131</v>
      </c>
      <c r="J47" s="12" t="s">
        <v>132</v>
      </c>
      <c r="K47" s="13" t="s">
        <v>101</v>
      </c>
      <c r="L47" s="11" t="str">
        <f>"000147"</f>
        <v>000147</v>
      </c>
      <c r="M47" s="10">
        <v>43149</v>
      </c>
      <c r="N47" s="11" t="str">
        <f>"000085"</f>
        <v>000085</v>
      </c>
      <c r="O47" s="10">
        <v>43154</v>
      </c>
      <c r="P47" s="11" t="str">
        <f>"000160"</f>
        <v>000160</v>
      </c>
      <c r="Q47" s="10">
        <v>43167</v>
      </c>
      <c r="R47" s="11">
        <v>18</v>
      </c>
      <c r="S47" s="11" t="str">
        <f>"007568"</f>
        <v>007568</v>
      </c>
      <c r="T47" s="10">
        <v>43427</v>
      </c>
      <c r="U47" s="14">
        <v>19.957000000000001</v>
      </c>
      <c r="V47" s="14">
        <v>2.4148999999999998</v>
      </c>
      <c r="W47" s="14">
        <v>17.542100000000001</v>
      </c>
      <c r="X47" s="11">
        <v>280</v>
      </c>
      <c r="Y47" s="10">
        <v>43437</v>
      </c>
      <c r="Z47" s="11">
        <v>9901999507</v>
      </c>
      <c r="AA47" s="12" t="s">
        <v>102</v>
      </c>
      <c r="AB47" s="11" t="s">
        <v>103</v>
      </c>
      <c r="AC47" s="12" t="s">
        <v>104</v>
      </c>
      <c r="AD47" s="11" t="s">
        <v>43</v>
      </c>
      <c r="AE47" s="12" t="s">
        <v>44</v>
      </c>
      <c r="AF47" s="14">
        <f t="shared" si="4"/>
        <v>0.19957</v>
      </c>
      <c r="AG47" s="11" t="s">
        <v>45</v>
      </c>
    </row>
    <row r="48" spans="1:33" x14ac:dyDescent="0.2">
      <c r="A48" s="8">
        <v>7559</v>
      </c>
      <c r="B48" s="9" t="s">
        <v>98</v>
      </c>
      <c r="C48" s="10">
        <v>43437</v>
      </c>
      <c r="D48" s="11">
        <v>122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133</v>
      </c>
      <c r="J48" s="12" t="s">
        <v>134</v>
      </c>
      <c r="K48" s="13" t="s">
        <v>101</v>
      </c>
      <c r="L48" s="11" t="str">
        <f>"000139"</f>
        <v>000139</v>
      </c>
      <c r="M48" s="10">
        <v>43149</v>
      </c>
      <c r="N48" s="11" t="str">
        <f>"000084"</f>
        <v>000084</v>
      </c>
      <c r="O48" s="10">
        <v>43154</v>
      </c>
      <c r="P48" s="11" t="str">
        <f>"000161"</f>
        <v>000161</v>
      </c>
      <c r="Q48" s="10">
        <v>43167</v>
      </c>
      <c r="R48" s="11">
        <v>18</v>
      </c>
      <c r="S48" s="11" t="str">
        <f>"007569"</f>
        <v>007569</v>
      </c>
      <c r="T48" s="10">
        <v>43427</v>
      </c>
      <c r="U48" s="14">
        <v>19.943999999999999</v>
      </c>
      <c r="V48" s="14">
        <v>2.4137</v>
      </c>
      <c r="W48" s="14">
        <v>17.5303</v>
      </c>
      <c r="X48" s="11">
        <v>280</v>
      </c>
      <c r="Y48" s="10">
        <v>43437</v>
      </c>
      <c r="Z48" s="11">
        <v>9901999507</v>
      </c>
      <c r="AA48" s="12" t="s">
        <v>102</v>
      </c>
      <c r="AB48" s="11" t="s">
        <v>103</v>
      </c>
      <c r="AC48" s="12" t="s">
        <v>104</v>
      </c>
      <c r="AD48" s="11" t="s">
        <v>43</v>
      </c>
      <c r="AE48" s="12" t="s">
        <v>44</v>
      </c>
      <c r="AF48" s="14">
        <f t="shared" si="4"/>
        <v>0.19943999999999998</v>
      </c>
      <c r="AG48" s="11" t="s">
        <v>45</v>
      </c>
    </row>
    <row r="49" spans="1:33" x14ac:dyDescent="0.2">
      <c r="A49" s="8">
        <v>7560</v>
      </c>
      <c r="B49" s="9" t="s">
        <v>98</v>
      </c>
      <c r="C49" s="10">
        <v>43437</v>
      </c>
      <c r="D49" s="11">
        <v>122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135</v>
      </c>
      <c r="J49" s="12" t="s">
        <v>136</v>
      </c>
      <c r="K49" s="13" t="s">
        <v>101</v>
      </c>
      <c r="L49" s="11" t="str">
        <f>"000141"</f>
        <v>000141</v>
      </c>
      <c r="M49" s="10">
        <v>43149</v>
      </c>
      <c r="N49" s="11" t="str">
        <f>"000087"</f>
        <v>000087</v>
      </c>
      <c r="O49" s="10">
        <v>43154</v>
      </c>
      <c r="P49" s="11" t="str">
        <f>"000162"</f>
        <v>000162</v>
      </c>
      <c r="Q49" s="10">
        <v>43167</v>
      </c>
      <c r="R49" s="11">
        <v>18</v>
      </c>
      <c r="S49" s="11" t="str">
        <f>"007570"</f>
        <v>007570</v>
      </c>
      <c r="T49" s="10">
        <v>43427</v>
      </c>
      <c r="U49" s="14">
        <v>19.959</v>
      </c>
      <c r="V49" s="14">
        <v>2.4144999999999999</v>
      </c>
      <c r="W49" s="14">
        <v>17.544499999999999</v>
      </c>
      <c r="X49" s="11">
        <v>280</v>
      </c>
      <c r="Y49" s="10">
        <v>43437</v>
      </c>
      <c r="Z49" s="11">
        <v>9901999507</v>
      </c>
      <c r="AA49" s="12" t="s">
        <v>102</v>
      </c>
      <c r="AB49" s="11" t="s">
        <v>103</v>
      </c>
      <c r="AC49" s="12" t="s">
        <v>104</v>
      </c>
      <c r="AD49" s="11" t="s">
        <v>43</v>
      </c>
      <c r="AE49" s="12" t="s">
        <v>44</v>
      </c>
      <c r="AF49" s="14">
        <f t="shared" si="4"/>
        <v>0.19958999999999999</v>
      </c>
      <c r="AG49" s="11" t="s">
        <v>45</v>
      </c>
    </row>
    <row r="50" spans="1:33" x14ac:dyDescent="0.2">
      <c r="A50" s="8">
        <v>7561</v>
      </c>
      <c r="B50" s="9" t="s">
        <v>98</v>
      </c>
      <c r="C50" s="10">
        <v>43437</v>
      </c>
      <c r="D50" s="11">
        <v>122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137</v>
      </c>
      <c r="J50" s="12" t="s">
        <v>138</v>
      </c>
      <c r="K50" s="13" t="s">
        <v>101</v>
      </c>
      <c r="L50" s="11" t="str">
        <f>"000142"</f>
        <v>000142</v>
      </c>
      <c r="M50" s="10">
        <v>43149</v>
      </c>
      <c r="N50" s="11" t="str">
        <f>"000086"</f>
        <v>000086</v>
      </c>
      <c r="O50" s="10">
        <v>43154</v>
      </c>
      <c r="P50" s="11" t="str">
        <f>"000163"</f>
        <v>000163</v>
      </c>
      <c r="Q50" s="10">
        <v>43167</v>
      </c>
      <c r="R50" s="11">
        <v>18</v>
      </c>
      <c r="S50" s="11" t="str">
        <f>"007571"</f>
        <v>007571</v>
      </c>
      <c r="T50" s="10">
        <v>43427</v>
      </c>
      <c r="U50" s="14">
        <v>19.959</v>
      </c>
      <c r="V50" s="14">
        <v>2.41526</v>
      </c>
      <c r="W50" s="14">
        <v>17.54374</v>
      </c>
      <c r="X50" s="11">
        <v>280</v>
      </c>
      <c r="Y50" s="10">
        <v>43437</v>
      </c>
      <c r="Z50" s="11">
        <v>9901999507</v>
      </c>
      <c r="AA50" s="12" t="s">
        <v>102</v>
      </c>
      <c r="AB50" s="11" t="s">
        <v>103</v>
      </c>
      <c r="AC50" s="12" t="s">
        <v>104</v>
      </c>
      <c r="AD50" s="11" t="s">
        <v>43</v>
      </c>
      <c r="AE50" s="12" t="s">
        <v>44</v>
      </c>
      <c r="AF50" s="14">
        <f t="shared" si="4"/>
        <v>0.19958999999999999</v>
      </c>
      <c r="AG50" s="11" t="s">
        <v>45</v>
      </c>
    </row>
    <row r="51" spans="1:33" x14ac:dyDescent="0.2">
      <c r="A51" s="8">
        <v>7562</v>
      </c>
      <c r="B51" s="9" t="s">
        <v>98</v>
      </c>
      <c r="C51" s="10">
        <v>43437</v>
      </c>
      <c r="D51" s="11">
        <v>122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139</v>
      </c>
      <c r="J51" s="12" t="s">
        <v>140</v>
      </c>
      <c r="K51" s="13" t="s">
        <v>101</v>
      </c>
      <c r="L51" s="11" t="str">
        <f>"000144"</f>
        <v>000144</v>
      </c>
      <c r="M51" s="10">
        <v>43149</v>
      </c>
      <c r="N51" s="11" t="str">
        <f>"000078"</f>
        <v>000078</v>
      </c>
      <c r="O51" s="10">
        <v>43154</v>
      </c>
      <c r="P51" s="11" t="str">
        <f>"000168"</f>
        <v>000168</v>
      </c>
      <c r="Q51" s="10">
        <v>43168</v>
      </c>
      <c r="R51" s="11">
        <v>18</v>
      </c>
      <c r="S51" s="11" t="str">
        <f>"007572"</f>
        <v>007572</v>
      </c>
      <c r="T51" s="10">
        <v>43427</v>
      </c>
      <c r="U51" s="14">
        <v>19.952999999999999</v>
      </c>
      <c r="V51" s="14">
        <v>2.4152999999999998</v>
      </c>
      <c r="W51" s="14">
        <v>17.537700000000001</v>
      </c>
      <c r="X51" s="11">
        <v>280</v>
      </c>
      <c r="Y51" s="10">
        <v>43437</v>
      </c>
      <c r="Z51" s="11">
        <v>9901999507</v>
      </c>
      <c r="AA51" s="12" t="s">
        <v>102</v>
      </c>
      <c r="AB51" s="11" t="s">
        <v>103</v>
      </c>
      <c r="AC51" s="12" t="s">
        <v>104</v>
      </c>
      <c r="AD51" s="11" t="s">
        <v>43</v>
      </c>
      <c r="AE51" s="12" t="s">
        <v>44</v>
      </c>
      <c r="AF51" s="14">
        <f t="shared" si="4"/>
        <v>0.19952999999999999</v>
      </c>
      <c r="AG51" s="11" t="s">
        <v>45</v>
      </c>
    </row>
    <row r="52" spans="1:33" x14ac:dyDescent="0.2">
      <c r="A52" s="8">
        <v>7909</v>
      </c>
      <c r="B52" s="9" t="s">
        <v>98</v>
      </c>
      <c r="C52" s="10">
        <v>43454</v>
      </c>
      <c r="D52" s="11">
        <v>122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141</v>
      </c>
      <c r="J52" s="12" t="s">
        <v>142</v>
      </c>
      <c r="K52" s="13" t="s">
        <v>101</v>
      </c>
      <c r="L52" s="11" t="str">
        <f>"000148"</f>
        <v>000148</v>
      </c>
      <c r="M52" s="10">
        <v>43149</v>
      </c>
      <c r="N52" s="11" t="str">
        <f>"000081"</f>
        <v>000081</v>
      </c>
      <c r="O52" s="10">
        <v>43154</v>
      </c>
      <c r="P52" s="11" t="str">
        <f>"000157"</f>
        <v>000157</v>
      </c>
      <c r="Q52" s="10">
        <v>43167</v>
      </c>
      <c r="R52" s="11">
        <v>17</v>
      </c>
      <c r="S52" s="11" t="str">
        <f>"007985"</f>
        <v>007985</v>
      </c>
      <c r="T52" s="10">
        <v>43448</v>
      </c>
      <c r="U52" s="14">
        <v>13.92</v>
      </c>
      <c r="V52" s="14">
        <v>1.6148499999999999</v>
      </c>
      <c r="W52" s="14">
        <v>12.305149999999999</v>
      </c>
      <c r="X52" s="11">
        <v>298</v>
      </c>
      <c r="Y52" s="10">
        <v>43454</v>
      </c>
      <c r="Z52" s="11">
        <v>9901999507</v>
      </c>
      <c r="AA52" s="12" t="s">
        <v>102</v>
      </c>
      <c r="AB52" s="11" t="s">
        <v>143</v>
      </c>
      <c r="AC52" s="12" t="s">
        <v>144</v>
      </c>
      <c r="AD52" s="11" t="s">
        <v>43</v>
      </c>
      <c r="AE52" s="12" t="s">
        <v>44</v>
      </c>
      <c r="AF52" s="14">
        <f t="shared" si="4"/>
        <v>0.13919999999999999</v>
      </c>
      <c r="AG52" s="11" t="s">
        <v>45</v>
      </c>
    </row>
    <row r="53" spans="1:33" x14ac:dyDescent="0.2">
      <c r="A53" s="8">
        <v>7910</v>
      </c>
      <c r="B53" s="9" t="s">
        <v>98</v>
      </c>
      <c r="C53" s="10">
        <v>43454</v>
      </c>
      <c r="D53" s="11">
        <v>122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145</v>
      </c>
      <c r="J53" s="12" t="s">
        <v>146</v>
      </c>
      <c r="K53" s="13" t="s">
        <v>147</v>
      </c>
      <c r="L53" s="11" t="str">
        <f>"000146"</f>
        <v>000146</v>
      </c>
      <c r="M53" s="10">
        <v>43149</v>
      </c>
      <c r="N53" s="11" t="str">
        <f>"000088"</f>
        <v>000088</v>
      </c>
      <c r="O53" s="10">
        <v>43155</v>
      </c>
      <c r="P53" s="11" t="str">
        <f>"000164"</f>
        <v>000164</v>
      </c>
      <c r="Q53" s="10">
        <v>43167</v>
      </c>
      <c r="R53" s="11">
        <v>17</v>
      </c>
      <c r="S53" s="11" t="str">
        <f>"007986"</f>
        <v>007986</v>
      </c>
      <c r="T53" s="10">
        <v>43448</v>
      </c>
      <c r="U53" s="14">
        <v>24.044</v>
      </c>
      <c r="V53" s="14">
        <v>2.9094000000000002</v>
      </c>
      <c r="W53" s="14">
        <v>21.134599999999999</v>
      </c>
      <c r="X53" s="11">
        <v>298</v>
      </c>
      <c r="Y53" s="10">
        <v>43454</v>
      </c>
      <c r="Z53" s="11">
        <v>9901999507</v>
      </c>
      <c r="AA53" s="12" t="s">
        <v>102</v>
      </c>
      <c r="AB53" s="11" t="s">
        <v>143</v>
      </c>
      <c r="AC53" s="12" t="s">
        <v>144</v>
      </c>
      <c r="AD53" s="11" t="s">
        <v>43</v>
      </c>
      <c r="AE53" s="12" t="s">
        <v>44</v>
      </c>
      <c r="AF53" s="14">
        <f t="shared" si="4"/>
        <v>0.24044000000000001</v>
      </c>
      <c r="AG53" s="11" t="s">
        <v>45</v>
      </c>
    </row>
    <row r="54" spans="1:33" x14ac:dyDescent="0.2">
      <c r="A54" s="8">
        <v>7911</v>
      </c>
      <c r="B54" s="9" t="s">
        <v>98</v>
      </c>
      <c r="C54" s="10">
        <v>43454</v>
      </c>
      <c r="D54" s="11">
        <v>122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148</v>
      </c>
      <c r="J54" s="12" t="s">
        <v>149</v>
      </c>
      <c r="K54" s="13" t="s">
        <v>101</v>
      </c>
      <c r="L54" s="11" t="str">
        <f>"000140"</f>
        <v>000140</v>
      </c>
      <c r="M54" s="10">
        <v>43149</v>
      </c>
      <c r="N54" s="11" t="str">
        <f>"000080"</f>
        <v>000080</v>
      </c>
      <c r="O54" s="10">
        <v>43154</v>
      </c>
      <c r="P54" s="11" t="str">
        <f>"000170"</f>
        <v>000170</v>
      </c>
      <c r="Q54" s="10">
        <v>43168</v>
      </c>
      <c r="R54" s="11">
        <v>18</v>
      </c>
      <c r="S54" s="11" t="str">
        <f>"007988"</f>
        <v>007988</v>
      </c>
      <c r="T54" s="10">
        <v>43448</v>
      </c>
      <c r="U54" s="14">
        <v>19.9528</v>
      </c>
      <c r="V54" s="14">
        <v>2.4143699999999999</v>
      </c>
      <c r="W54" s="14">
        <v>17.538430000000002</v>
      </c>
      <c r="X54" s="11">
        <v>298</v>
      </c>
      <c r="Y54" s="10">
        <v>43454</v>
      </c>
      <c r="Z54" s="11">
        <v>9901999507</v>
      </c>
      <c r="AA54" s="12" t="s">
        <v>102</v>
      </c>
      <c r="AB54" s="11" t="s">
        <v>103</v>
      </c>
      <c r="AC54" s="12" t="s">
        <v>104</v>
      </c>
      <c r="AD54" s="11" t="s">
        <v>43</v>
      </c>
      <c r="AE54" s="12" t="s">
        <v>44</v>
      </c>
      <c r="AF54" s="14">
        <f t="shared" si="4"/>
        <v>0.19952800000000001</v>
      </c>
      <c r="AG54" s="11" t="s">
        <v>45</v>
      </c>
    </row>
    <row r="55" spans="1:33" x14ac:dyDescent="0.2">
      <c r="A55" s="8">
        <v>8099</v>
      </c>
      <c r="B55" s="9" t="s">
        <v>98</v>
      </c>
      <c r="C55" s="10">
        <v>43462</v>
      </c>
      <c r="D55" s="11">
        <v>122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150</v>
      </c>
      <c r="J55" s="12" t="s">
        <v>151</v>
      </c>
      <c r="K55" s="13" t="s">
        <v>101</v>
      </c>
      <c r="L55" s="11" t="str">
        <f>"000145"</f>
        <v>000145</v>
      </c>
      <c r="M55" s="10">
        <v>43149</v>
      </c>
      <c r="N55" s="11" t="str">
        <f>"000077"</f>
        <v>000077</v>
      </c>
      <c r="O55" s="10">
        <v>43154</v>
      </c>
      <c r="P55" s="11" t="str">
        <f>"000169"</f>
        <v>000169</v>
      </c>
      <c r="Q55" s="10">
        <v>43168</v>
      </c>
      <c r="R55" s="11">
        <v>18</v>
      </c>
      <c r="S55" s="11" t="str">
        <f>"008166"</f>
        <v>008166</v>
      </c>
      <c r="T55" s="10">
        <v>43455</v>
      </c>
      <c r="U55" s="14">
        <v>19.954999999999998</v>
      </c>
      <c r="V55" s="14">
        <v>2.4146000000000001</v>
      </c>
      <c r="W55" s="14">
        <v>17.540400000000002</v>
      </c>
      <c r="X55" s="11">
        <v>306</v>
      </c>
      <c r="Y55" s="10">
        <v>43462</v>
      </c>
      <c r="Z55" s="11">
        <v>9901999507</v>
      </c>
      <c r="AA55" s="12" t="s">
        <v>102</v>
      </c>
      <c r="AB55" s="11" t="s">
        <v>103</v>
      </c>
      <c r="AC55" s="12" t="s">
        <v>104</v>
      </c>
      <c r="AD55" s="11" t="s">
        <v>43</v>
      </c>
      <c r="AE55" s="12" t="s">
        <v>44</v>
      </c>
      <c r="AF55" s="14">
        <f t="shared" si="4"/>
        <v>0.19954999999999998</v>
      </c>
      <c r="AG55" s="11" t="s">
        <v>45</v>
      </c>
    </row>
    <row r="56" spans="1:33" x14ac:dyDescent="0.2">
      <c r="A56" s="8">
        <v>8798</v>
      </c>
      <c r="B56" s="9" t="s">
        <v>152</v>
      </c>
      <c r="C56" s="10">
        <v>43490</v>
      </c>
      <c r="D56" s="11">
        <v>122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153</v>
      </c>
      <c r="J56" s="12" t="s">
        <v>154</v>
      </c>
      <c r="K56" s="13" t="s">
        <v>39</v>
      </c>
      <c r="L56" s="11" t="str">
        <f>"000101"</f>
        <v>000101</v>
      </c>
      <c r="M56" s="10">
        <v>43402</v>
      </c>
      <c r="N56" s="11" t="str">
        <f>"000143"</f>
        <v>000143</v>
      </c>
      <c r="O56" s="10">
        <v>43448</v>
      </c>
      <c r="P56" s="11" t="str">
        <f>"000144"</f>
        <v>000144</v>
      </c>
      <c r="Q56" s="10">
        <v>43448</v>
      </c>
      <c r="R56" s="11"/>
      <c r="S56" s="11" t="str">
        <f>"008947"</f>
        <v>008947</v>
      </c>
      <c r="T56" s="10">
        <v>43489</v>
      </c>
      <c r="U56" s="14">
        <v>9.9961699999999993</v>
      </c>
      <c r="V56" s="14">
        <v>1.2380899999999999</v>
      </c>
      <c r="W56" s="14">
        <v>8.7580799999999996</v>
      </c>
      <c r="X56" s="11">
        <v>333</v>
      </c>
      <c r="Y56" s="10">
        <v>43490</v>
      </c>
      <c r="Z56" s="11">
        <v>0</v>
      </c>
      <c r="AA56" s="12" t="s">
        <v>155</v>
      </c>
      <c r="AB56" s="11" t="s">
        <v>156</v>
      </c>
      <c r="AC56" s="12" t="s">
        <v>157</v>
      </c>
      <c r="AD56" s="11" t="s">
        <v>66</v>
      </c>
      <c r="AE56" s="12" t="s">
        <v>67</v>
      </c>
      <c r="AF56" s="14">
        <f t="shared" si="4"/>
        <v>9.9961699999999987E-2</v>
      </c>
      <c r="AG56" s="11" t="s">
        <v>90</v>
      </c>
    </row>
    <row r="57" spans="1:33" x14ac:dyDescent="0.2">
      <c r="A57" s="8">
        <v>9038</v>
      </c>
      <c r="B57" s="9" t="s">
        <v>158</v>
      </c>
      <c r="C57" s="10">
        <v>43504</v>
      </c>
      <c r="D57" s="11">
        <v>122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159</v>
      </c>
      <c r="J57" s="12" t="s">
        <v>160</v>
      </c>
      <c r="K57" s="13" t="s">
        <v>59</v>
      </c>
      <c r="L57" s="11" t="str">
        <f>"000062"</f>
        <v>000062</v>
      </c>
      <c r="M57" s="10">
        <v>43400</v>
      </c>
      <c r="N57" s="11" t="str">
        <f>"000083"</f>
        <v>000083</v>
      </c>
      <c r="O57" s="10">
        <v>43463</v>
      </c>
      <c r="P57" s="11" t="str">
        <f>"000189"</f>
        <v>000189</v>
      </c>
      <c r="Q57" s="10">
        <v>43463</v>
      </c>
      <c r="R57" s="11"/>
      <c r="S57" s="11" t="str">
        <f>"009146"</f>
        <v>009146</v>
      </c>
      <c r="T57" s="10">
        <v>43503</v>
      </c>
      <c r="U57" s="14">
        <v>14.914400000000001</v>
      </c>
      <c r="V57" s="14">
        <v>1.8474699999999999</v>
      </c>
      <c r="W57" s="14">
        <v>13.066929999999999</v>
      </c>
      <c r="X57" s="11">
        <v>346</v>
      </c>
      <c r="Y57" s="10">
        <v>43504</v>
      </c>
      <c r="Z57" s="11">
        <v>9611211221</v>
      </c>
      <c r="AA57" s="12" t="s">
        <v>161</v>
      </c>
      <c r="AB57" s="11" t="s">
        <v>162</v>
      </c>
      <c r="AC57" s="12" t="s">
        <v>163</v>
      </c>
      <c r="AD57" s="11" t="s">
        <v>43</v>
      </c>
      <c r="AE57" s="12" t="s">
        <v>44</v>
      </c>
      <c r="AF57" s="14">
        <f t="shared" si="4"/>
        <v>0.149144</v>
      </c>
      <c r="AG57" s="11" t="s">
        <v>90</v>
      </c>
    </row>
    <row r="58" spans="1:33" x14ac:dyDescent="0.2">
      <c r="A58" s="8">
        <v>9039</v>
      </c>
      <c r="B58" s="9" t="s">
        <v>158</v>
      </c>
      <c r="C58" s="10">
        <v>43504</v>
      </c>
      <c r="D58" s="11">
        <v>122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164</v>
      </c>
      <c r="J58" s="12" t="s">
        <v>165</v>
      </c>
      <c r="K58" s="13" t="s">
        <v>101</v>
      </c>
      <c r="L58" s="11" t="str">
        <f>"000061"</f>
        <v>000061</v>
      </c>
      <c r="M58" s="10">
        <v>43400</v>
      </c>
      <c r="N58" s="11" t="str">
        <f>"000084"</f>
        <v>000084</v>
      </c>
      <c r="O58" s="10">
        <v>43463</v>
      </c>
      <c r="P58" s="11" t="str">
        <f>"000190"</f>
        <v>000190</v>
      </c>
      <c r="Q58" s="10">
        <v>43463</v>
      </c>
      <c r="R58" s="11"/>
      <c r="S58" s="11" t="str">
        <f>"009147"</f>
        <v>009147</v>
      </c>
      <c r="T58" s="10">
        <v>43503</v>
      </c>
      <c r="U58" s="14">
        <v>19.9468</v>
      </c>
      <c r="V58" s="14">
        <v>2.32165</v>
      </c>
      <c r="W58" s="14">
        <v>17.625150000000001</v>
      </c>
      <c r="X58" s="11">
        <v>346</v>
      </c>
      <c r="Y58" s="10">
        <v>43504</v>
      </c>
      <c r="Z58" s="11">
        <v>9611211221</v>
      </c>
      <c r="AA58" s="12" t="s">
        <v>161</v>
      </c>
      <c r="AB58" s="11" t="s">
        <v>166</v>
      </c>
      <c r="AC58" s="12" t="s">
        <v>167</v>
      </c>
      <c r="AD58" s="11" t="s">
        <v>43</v>
      </c>
      <c r="AE58" s="12" t="s">
        <v>44</v>
      </c>
      <c r="AF58" s="14">
        <f t="shared" si="4"/>
        <v>0.19946800000000001</v>
      </c>
      <c r="AG58" s="11" t="s">
        <v>90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2019-06-13T08:03:14Z</dcterms:modified>
</cp:coreProperties>
</file>