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1" i="1" l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<sst xmlns="http://schemas.openxmlformats.org/spreadsheetml/2006/main" count="593" uniqueCount="184">
  <si>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</si>
  <si>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</si>
  <si>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</si>
  <si>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</si>
  <si>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</si>
  <si>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</si>
  <si>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</si>
  <si>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</si>
  <si>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</si>
  <si>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</si>
  <si>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</si>
  <si>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</si>
  <si>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</si>
  <si>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</si>
  <si>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</si>
  <si>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</si>
  <si>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</si>
  <si>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</si>
  <si>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</si>
  <si>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</si>
  <si>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</si>
  <si>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</si>
  <si>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</si>
  <si>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</si>
  <si>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</si>
  <si>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</si>
  <si>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</si>
  <si>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</si>
  <si>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</si>
  <si>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</si>
  <si>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</si>
  <si>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</si>
  <si>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</si>
  <si>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</si>
  <si>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Vijaya Nagara</t>
  </si>
  <si>
    <t>South</t>
  </si>
  <si>
    <t>123-18-000036</t>
  </si>
  <si>
    <t>Providing LED lights to Tollgate under pass in Vijayanagar Constituency</t>
  </si>
  <si>
    <t>Footpaths &amp; Walkability</t>
  </si>
  <si>
    <t>Exeecutive Engineer-3</t>
  </si>
  <si>
    <t>P3111</t>
  </si>
  <si>
    <t>State Finance Commission Untied Grant Works</t>
  </si>
  <si>
    <t>ddo258</t>
  </si>
  <si>
    <t xml:space="preserve"> Executive Engineer Electrical South Zone</t>
  </si>
  <si>
    <t>Pending</t>
  </si>
  <si>
    <t>123-18-000009</t>
  </si>
  <si>
    <t>Providing CC Camera different locations in Ward 123</t>
  </si>
  <si>
    <t>Crime &amp; Safety</t>
  </si>
  <si>
    <t>Technical Manager-2</t>
  </si>
  <si>
    <t>ddo266</t>
  </si>
  <si>
    <t xml:space="preserve"> Assistant Executive Engineer Vijayanagara South Zone</t>
  </si>
  <si>
    <t>Spill Over</t>
  </si>
  <si>
    <t>May</t>
  </si>
  <si>
    <t>123-18-000032</t>
  </si>
  <si>
    <t>Provding and fixing of LED street lights in Vijaynagar 1st cross in ward no 123</t>
  </si>
  <si>
    <t>Executive Engineer-3 (Karnataka Rural Infrastructure Development Ltd)</t>
  </si>
  <si>
    <t>P1878</t>
  </si>
  <si>
    <t>18per - Works (Bhagyajyothi, Sooru / Neeru Yojane and General) (54 Lakhs / New Wards)</t>
  </si>
  <si>
    <t>123-18-000026</t>
  </si>
  <si>
    <t>Provding and fixing of LED street lights in Channel road in ward no 123</t>
  </si>
  <si>
    <t>123-18-000031</t>
  </si>
  <si>
    <t>Provding and fixing of LED street lights in Vidhyaranynagar in ward no 123</t>
  </si>
  <si>
    <t>123-18-000029</t>
  </si>
  <si>
    <t>Provding and fixing of LED street lights in manjunathnagar in ward no 123</t>
  </si>
  <si>
    <t>Executive Engineer -3, KRIDL</t>
  </si>
  <si>
    <t>123-18-000030</t>
  </si>
  <si>
    <t>Provding and fixing of LED street lights in NS Garden in ward no 123</t>
  </si>
  <si>
    <t>123-18-000033</t>
  </si>
  <si>
    <t>Provding and fixing of LED street lights in Vijaynagar 4th cross in ward no 123</t>
  </si>
  <si>
    <t>Executive Engineer-3(Karnataka Rural Infrastructure Development Ltd)</t>
  </si>
  <si>
    <t>123-18-000027</t>
  </si>
  <si>
    <t>Provding and fixing of LED street lights in cholurpalya in ward no 123</t>
  </si>
  <si>
    <t>123-18-000028</t>
  </si>
  <si>
    <t>Provding and fixing of LED street lights in Malligethota in ward no 123</t>
  </si>
  <si>
    <t>123-17-000036</t>
  </si>
  <si>
    <t>Providing CC Camera at Garbage Block Spots in ward no 123</t>
  </si>
  <si>
    <t>Meghana Electricals</t>
  </si>
  <si>
    <t>P3110</t>
  </si>
  <si>
    <t>14th Finance Commission Grant Works</t>
  </si>
  <si>
    <t>123-16-000013</t>
  </si>
  <si>
    <t>Providing special repairs to JP park pathway lighting in Vijayanagar Ward No 123</t>
  </si>
  <si>
    <t>Trees, Parks &amp; Playgrounds</t>
  </si>
  <si>
    <t>M/s. Prabha Electricals</t>
  </si>
  <si>
    <t>P1771</t>
  </si>
  <si>
    <t>Zone Works - POW Works</t>
  </si>
  <si>
    <t>123-18-000018</t>
  </si>
  <si>
    <t>Improvements to 2nd and 1st main vidyaranynagar RCC drain in ward no 123</t>
  </si>
  <si>
    <t>123-18-000019</t>
  </si>
  <si>
    <t>Improvements to existing drain at 2nd main and 1st main cholurupalya vijaynagar in ward no 123</t>
  </si>
  <si>
    <t>123-18-000014</t>
  </si>
  <si>
    <t>Improvements RCC drain 6th cross chourpalya in ward no 123</t>
  </si>
  <si>
    <t>Current</t>
  </si>
  <si>
    <t>June</t>
  </si>
  <si>
    <t>123-18-000004</t>
  </si>
  <si>
    <t>Improvements to existing drain of 2nd cross and 3rd cross Vijayanagara in ward no 123.</t>
  </si>
  <si>
    <t>123-15-000002</t>
  </si>
  <si>
    <t xml:space="preserve">Providing CC to 1st A main and 2nd B main Cholurpalya in Ward No 123 </t>
  </si>
  <si>
    <t>Other Ward Works</t>
  </si>
  <si>
    <t>Ravichandra</t>
  </si>
  <si>
    <t>123-16-000005</t>
  </si>
  <si>
    <t>Emergency works in ward limits in ward no 123</t>
  </si>
  <si>
    <t>July</t>
  </si>
  <si>
    <t>123-16-000002</t>
  </si>
  <si>
    <t>Construction of RCC retaining wall in place of collapsed of SSM wall for SWD V-100 at cholurapalya near mini bridge in ward no 123</t>
  </si>
  <si>
    <t xml:space="preserve">M/s. Sheetal Engineering Associates, </t>
  </si>
  <si>
    <t>P3106</t>
  </si>
  <si>
    <t>Nagarothana Works</t>
  </si>
  <si>
    <t>ddo313</t>
  </si>
  <si>
    <t xml:space="preserve"> Chief Engineer SWD Central Zone</t>
  </si>
  <si>
    <t>123-18-000006</t>
  </si>
  <si>
    <t>Drilling of new borewells in ward no.123 Vijayanagara Constituency.</t>
  </si>
  <si>
    <t>Water &amp; Sanitary</t>
  </si>
  <si>
    <t>123-16-000001</t>
  </si>
  <si>
    <t>Operation and Maintenance of Street Lighting System in Ward No.123 Package S-33 of South Zone</t>
  </si>
  <si>
    <t>Sri Manjunatha Enterprises (Shankar Rao.B)</t>
  </si>
  <si>
    <t>P0300</t>
  </si>
  <si>
    <t>M and R to Street Lights - Replacement of Burnt Bulbs etc. (Package)</t>
  </si>
  <si>
    <t>123-17-000026</t>
  </si>
  <si>
    <t xml:space="preserve">Providing drinking water works in Ward No 123 in Vijaynagar Division </t>
  </si>
  <si>
    <t>Drinking Water</t>
  </si>
  <si>
    <t>M/s KRIDL,</t>
  </si>
  <si>
    <t>123-16-000003</t>
  </si>
  <si>
    <t>Engaging tractor to remove debris and silt in ward No 123 Vijayanagara</t>
  </si>
  <si>
    <t>Health &amp; Sanitation</t>
  </si>
  <si>
    <t>B M RAMAMURTHY</t>
  </si>
  <si>
    <t>123-18-000007</t>
  </si>
  <si>
    <t>Providing name board, stickers in ward no. 123 at Vijayanagara constituency at different locations.</t>
  </si>
  <si>
    <t>Roads &amp; Drivablility</t>
  </si>
  <si>
    <t>123-18-000008</t>
  </si>
  <si>
    <t xml:space="preserve">Providing Rain water harvesting in ward no.123 at Vijayanagara Constituency at different locations. </t>
  </si>
  <si>
    <t>Rain Water Harvestin</t>
  </si>
  <si>
    <t>August</t>
  </si>
  <si>
    <t>123-17-000011</t>
  </si>
  <si>
    <t>Providing pot hole filling and road cut portion in ward no 123</t>
  </si>
  <si>
    <t>R Kumaraswamy</t>
  </si>
  <si>
    <t>October</t>
  </si>
  <si>
    <t>123-13-000026</t>
  </si>
  <si>
    <t>Resurfacing to roads of Cholurpalya and surrounding areas in ward no 123</t>
  </si>
  <si>
    <t>P0190</t>
  </si>
  <si>
    <t>Works sanctioned by Hon Mayor</t>
  </si>
  <si>
    <t>123-17-000013</t>
  </si>
  <si>
    <t>Providing Improvements to Pramila bai mane school building in ward no 123</t>
  </si>
  <si>
    <t>Public Amenities</t>
  </si>
  <si>
    <t>S Sathish</t>
  </si>
  <si>
    <t>123-16-000009</t>
  </si>
  <si>
    <t>Improvements to culverts at various places in ward No 123</t>
  </si>
  <si>
    <t>Chetan S</t>
  </si>
  <si>
    <t>123-16-000012</t>
  </si>
  <si>
    <t>Providing cement concrete to BWSSB road cut portions at Manjunathanagara service road in ward No 123</t>
  </si>
  <si>
    <t>Darshan C R</t>
  </si>
  <si>
    <t>123-16-000008</t>
  </si>
  <si>
    <t>Providing stickering to existing name boards and providing new name boards in ward no 123</t>
  </si>
  <si>
    <t>Prajwal B N</t>
  </si>
  <si>
    <t>123-17-000009</t>
  </si>
  <si>
    <t>Development of J P Park in ward no 123</t>
  </si>
  <si>
    <t>KRIDL</t>
  </si>
  <si>
    <t>ddo422</t>
  </si>
  <si>
    <t xml:space="preserve"> Executive Engineer Project - South Zone</t>
  </si>
  <si>
    <t>123-16-000014</t>
  </si>
  <si>
    <t>Sinking energizing and comissioning of new Borwells in Various places in Ward No 123</t>
  </si>
  <si>
    <t>R Chandrashekar</t>
  </si>
  <si>
    <t>P1802</t>
  </si>
  <si>
    <t>Water Supply New Areas</t>
  </si>
  <si>
    <t>November</t>
  </si>
  <si>
    <t>123-15-000007</t>
  </si>
  <si>
    <t xml:space="preserve">Providing CC and drain at 10th cross Pipeline in Ward No 123 </t>
  </si>
  <si>
    <t>K Purushotham</t>
  </si>
  <si>
    <t>123-15-000006</t>
  </si>
  <si>
    <t xml:space="preserve">Providing CC drain at Vidyaranyanagar main road in Ward No.123 </t>
  </si>
  <si>
    <t>123-18-000060</t>
  </si>
  <si>
    <t>Providing ambience works to Indira canteen at Vijayanagar in ward no 123</t>
  </si>
  <si>
    <t>Indira Canteen</t>
  </si>
  <si>
    <t>M/s KRIDL</t>
  </si>
  <si>
    <t>February</t>
  </si>
  <si>
    <t>123-18-000038</t>
  </si>
  <si>
    <t>Drilling of Borewells and providing water supply connection to water scarcity area in ward no 123 Vijaynagar</t>
  </si>
  <si>
    <t>March</t>
  </si>
  <si>
    <t>123-17-000010</t>
  </si>
  <si>
    <t>Construction of Air Condition Hitech Palike Bazar in ward no 123 Vijayanagara</t>
  </si>
  <si>
    <t>M/s Parichitha Constn</t>
  </si>
  <si>
    <t>123-18-000010</t>
  </si>
  <si>
    <t>Providing Fixing Benchs and Tiles in J P Park at Vijayanagara in ward no 123</t>
  </si>
  <si>
    <t>P2415</t>
  </si>
  <si>
    <t>Reserve fund for TandF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</si>
</sst>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pane ySplit="1" topLeftCell="A2" activePane="bottomLeft" state="frozen"/>
      <selection activeCell="H1" sqref="H1"/>
      <selection pane="bottomLeft" activeCell="A2" sqref="A2:XFD4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101</v>
      </c>
      <c r="B2" s="9" t="s">
        <v>33</v>
      </c>
      <c r="C2" s="10">
        <v>43194</v>
      </c>
      <c r="D2" s="11">
        <v>123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"000162"</f>
        <v>000162</v>
      </c>
      <c r="M2" s="10">
        <v>43152</v>
      </c>
      <c r="N2" s="11" t="str">
        <f>"000122"</f>
        <v>000122</v>
      </c>
      <c r="O2" s="10">
        <v>43176</v>
      </c>
      <c r="P2" s="11" t="str">
        <f>"000119"</f>
        <v>000119</v>
      </c>
      <c r="Q2" s="10">
        <v>43176</v>
      </c>
      <c r="R2" s="11">
        <v>18</v>
      </c>
      <c r="S2" s="11" t="str">
        <f>"000160"</f>
        <v>000160</v>
      </c>
      <c r="T2" s="10">
        <v>43193</v>
      </c>
      <c r="U2" s="14">
        <v>39.779359999999997</v>
      </c>
      <c r="V2" s="14">
        <v>5.0121900000000004</v>
      </c>
      <c r="W2" s="14">
        <v>34.76717</v>
      </c>
      <c r="X2" s="11">
        <v>2</v>
      </c>
      <c r="Y2" s="10">
        <v>43194</v>
      </c>
      <c r="Z2" s="11">
        <v>0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0.39779359999999997</v>
      </c>
      <c r="AG2" s="11" t="s">
        <v>44</v>
      </c>
    </row>
    <row r="3" spans="1:33" x14ac:dyDescent="0.2">
      <c r="A3" s="8">
        <v>539</v>
      </c>
      <c r="B3" s="9" t="s">
        <v>33</v>
      </c>
      <c r="C3" s="10">
        <v>43203</v>
      </c>
      <c r="D3" s="11">
        <v>123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"000122"</f>
        <v>000122</v>
      </c>
      <c r="M3" s="10">
        <v>43136</v>
      </c>
      <c r="N3" s="11" t="str">
        <f>"000001"</f>
        <v>000001</v>
      </c>
      <c r="O3" s="10">
        <v>43192</v>
      </c>
      <c r="P3" s="11" t="str">
        <f>"000003"</f>
        <v>000003</v>
      </c>
      <c r="Q3" s="10">
        <v>43192</v>
      </c>
      <c r="R3" s="11">
        <v>18</v>
      </c>
      <c r="S3" s="11" t="str">
        <f>"000487"</f>
        <v>000487</v>
      </c>
      <c r="T3" s="10">
        <v>43202</v>
      </c>
      <c r="U3" s="14">
        <v>18.706</v>
      </c>
      <c r="V3" s="14">
        <v>1.796</v>
      </c>
      <c r="W3" s="14">
        <v>16.91</v>
      </c>
      <c r="X3" s="11">
        <v>16</v>
      </c>
      <c r="Y3" s="10">
        <v>43203</v>
      </c>
      <c r="Z3" s="11">
        <v>9900074879</v>
      </c>
      <c r="AA3" s="12" t="s">
        <v>48</v>
      </c>
      <c r="AB3" s="11" t="s">
        <v>40</v>
      </c>
      <c r="AC3" s="12" t="s">
        <v>41</v>
      </c>
      <c r="AD3" s="11" t="s">
        <v>49</v>
      </c>
      <c r="AE3" s="12" t="s">
        <v>50</v>
      </c>
      <c r="AF3" s="14">
        <v>0.18706</v>
      </c>
      <c r="AG3" s="11" t="s">
        <v>51</v>
      </c>
    </row>
    <row r="4" spans="1:33" x14ac:dyDescent="0.2">
      <c r="A4" s="8">
        <v>894</v>
      </c>
      <c r="B4" s="9" t="s">
        <v>52</v>
      </c>
      <c r="C4" s="10">
        <v>43228</v>
      </c>
      <c r="D4" s="11">
        <v>123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53</v>
      </c>
      <c r="J4" s="12" t="s">
        <v>54</v>
      </c>
      <c r="K4" s="13" t="s">
        <v>38</v>
      </c>
      <c r="L4" s="11" t="str">
        <f>"000175"</f>
        <v>000175</v>
      </c>
      <c r="M4" s="10">
        <v>43164</v>
      </c>
      <c r="N4" s="11" t="str">
        <f>"000166"</f>
        <v>000166</v>
      </c>
      <c r="O4" s="10">
        <v>43189</v>
      </c>
      <c r="P4" s="11" t="str">
        <f>"000172"</f>
        <v>000172</v>
      </c>
      <c r="Q4" s="10">
        <v>43189</v>
      </c>
      <c r="R4" s="11">
        <v>18</v>
      </c>
      <c r="S4" s="11" t="str">
        <f>"001046"</f>
        <v>001046</v>
      </c>
      <c r="T4" s="10">
        <v>43224</v>
      </c>
      <c r="U4" s="14">
        <v>24.996559999999999</v>
      </c>
      <c r="V4" s="14">
        <v>3.1495500000000001</v>
      </c>
      <c r="W4" s="14">
        <v>21.847010000000001</v>
      </c>
      <c r="X4" s="11">
        <v>42</v>
      </c>
      <c r="Y4" s="10">
        <v>43228</v>
      </c>
      <c r="Z4" s="11">
        <v>0</v>
      </c>
      <c r="AA4" s="12" t="s">
        <v>55</v>
      </c>
      <c r="AB4" s="11" t="s">
        <v>56</v>
      </c>
      <c r="AC4" s="12" t="s">
        <v>57</v>
      </c>
      <c r="AD4" s="11" t="s">
        <v>42</v>
      </c>
      <c r="AE4" s="12" t="s">
        <v>43</v>
      </c>
      <c r="AF4" s="14">
        <v>0.24996559999999998</v>
      </c>
      <c r="AG4" s="11" t="s">
        <v>44</v>
      </c>
    </row>
    <row r="5" spans="1:33" x14ac:dyDescent="0.2">
      <c r="A5" s="8">
        <v>895</v>
      </c>
      <c r="B5" s="9" t="s">
        <v>52</v>
      </c>
      <c r="C5" s="10">
        <v>43228</v>
      </c>
      <c r="D5" s="11">
        <v>123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58</v>
      </c>
      <c r="J5" s="12" t="s">
        <v>59</v>
      </c>
      <c r="K5" s="13" t="s">
        <v>38</v>
      </c>
      <c r="L5" s="11" t="str">
        <f>"000174"</f>
        <v>000174</v>
      </c>
      <c r="M5" s="10">
        <v>43164</v>
      </c>
      <c r="N5" s="11" t="str">
        <f>"000167"</f>
        <v>000167</v>
      </c>
      <c r="O5" s="10">
        <v>43189</v>
      </c>
      <c r="P5" s="11" t="str">
        <f>"000173"</f>
        <v>000173</v>
      </c>
      <c r="Q5" s="10">
        <v>43189</v>
      </c>
      <c r="R5" s="11">
        <v>18</v>
      </c>
      <c r="S5" s="11" t="str">
        <f>"001047"</f>
        <v>001047</v>
      </c>
      <c r="T5" s="10">
        <v>43224</v>
      </c>
      <c r="U5" s="14">
        <v>24.994730000000001</v>
      </c>
      <c r="V5" s="14">
        <v>3.1493199999999999</v>
      </c>
      <c r="W5" s="14">
        <v>21.845410000000001</v>
      </c>
      <c r="X5" s="11">
        <v>42</v>
      </c>
      <c r="Y5" s="10">
        <v>43228</v>
      </c>
      <c r="Z5" s="11">
        <v>0</v>
      </c>
      <c r="AA5" s="12" t="s">
        <v>55</v>
      </c>
      <c r="AB5" s="11" t="s">
        <v>56</v>
      </c>
      <c r="AC5" s="12" t="s">
        <v>57</v>
      </c>
      <c r="AD5" s="11" t="s">
        <v>42</v>
      </c>
      <c r="AE5" s="12" t="s">
        <v>43</v>
      </c>
      <c r="AF5" s="14">
        <v>0.24994730000000001</v>
      </c>
      <c r="AG5" s="11" t="s">
        <v>44</v>
      </c>
    </row>
    <row r="6" spans="1:33" x14ac:dyDescent="0.2">
      <c r="A6" s="8">
        <v>896</v>
      </c>
      <c r="B6" s="9" t="s">
        <v>52</v>
      </c>
      <c r="C6" s="10">
        <v>43228</v>
      </c>
      <c r="D6" s="11">
        <v>123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60</v>
      </c>
      <c r="J6" s="12" t="s">
        <v>61</v>
      </c>
      <c r="K6" s="13" t="s">
        <v>38</v>
      </c>
      <c r="L6" s="11" t="str">
        <f>"000173"</f>
        <v>000173</v>
      </c>
      <c r="M6" s="10">
        <v>43164</v>
      </c>
      <c r="N6" s="11" t="str">
        <f>"000168"</f>
        <v>000168</v>
      </c>
      <c r="O6" s="10">
        <v>43189</v>
      </c>
      <c r="P6" s="11" t="str">
        <f>"000174"</f>
        <v>000174</v>
      </c>
      <c r="Q6" s="10">
        <v>43189</v>
      </c>
      <c r="R6" s="11">
        <v>18</v>
      </c>
      <c r="S6" s="11" t="str">
        <f>"001048"</f>
        <v>001048</v>
      </c>
      <c r="T6" s="10">
        <v>43224</v>
      </c>
      <c r="U6" s="14">
        <v>24.9984</v>
      </c>
      <c r="V6" s="14">
        <v>3.1497899999999999</v>
      </c>
      <c r="W6" s="14">
        <v>21.848610000000001</v>
      </c>
      <c r="X6" s="11">
        <v>42</v>
      </c>
      <c r="Y6" s="10">
        <v>43228</v>
      </c>
      <c r="Z6" s="11">
        <v>0</v>
      </c>
      <c r="AA6" s="12" t="s">
        <v>55</v>
      </c>
      <c r="AB6" s="11" t="s">
        <v>56</v>
      </c>
      <c r="AC6" s="12" t="s">
        <v>57</v>
      </c>
      <c r="AD6" s="11" t="s">
        <v>42</v>
      </c>
      <c r="AE6" s="12" t="s">
        <v>43</v>
      </c>
      <c r="AF6" s="14">
        <v>0.24998400000000001</v>
      </c>
      <c r="AG6" s="11" t="s">
        <v>44</v>
      </c>
    </row>
    <row r="7" spans="1:33" x14ac:dyDescent="0.2">
      <c r="A7" s="8">
        <v>897</v>
      </c>
      <c r="B7" s="9" t="s">
        <v>52</v>
      </c>
      <c r="C7" s="10">
        <v>43228</v>
      </c>
      <c r="D7" s="11">
        <v>123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62</v>
      </c>
      <c r="J7" s="12" t="s">
        <v>63</v>
      </c>
      <c r="K7" s="13" t="s">
        <v>38</v>
      </c>
      <c r="L7" s="11" t="str">
        <f>"000177"</f>
        <v>000177</v>
      </c>
      <c r="M7" s="10">
        <v>43165</v>
      </c>
      <c r="N7" s="11" t="str">
        <f>"000169"</f>
        <v>000169</v>
      </c>
      <c r="O7" s="10">
        <v>43189</v>
      </c>
      <c r="P7" s="11" t="str">
        <f>"000175"</f>
        <v>000175</v>
      </c>
      <c r="Q7" s="10">
        <v>43189</v>
      </c>
      <c r="R7" s="11">
        <v>18</v>
      </c>
      <c r="S7" s="11" t="str">
        <f>"001049"</f>
        <v>001049</v>
      </c>
      <c r="T7" s="10">
        <v>43224</v>
      </c>
      <c r="U7" s="14">
        <v>24.996559999999999</v>
      </c>
      <c r="V7" s="14">
        <v>3.1495500000000001</v>
      </c>
      <c r="W7" s="14">
        <v>21.847010000000001</v>
      </c>
      <c r="X7" s="11">
        <v>42</v>
      </c>
      <c r="Y7" s="10">
        <v>43228</v>
      </c>
      <c r="Z7" s="11">
        <v>0</v>
      </c>
      <c r="AA7" s="12" t="s">
        <v>64</v>
      </c>
      <c r="AB7" s="11" t="s">
        <v>56</v>
      </c>
      <c r="AC7" s="12" t="s">
        <v>57</v>
      </c>
      <c r="AD7" s="11" t="s">
        <v>42</v>
      </c>
      <c r="AE7" s="12" t="s">
        <v>43</v>
      </c>
      <c r="AF7" s="14">
        <v>0.24996559999999998</v>
      </c>
      <c r="AG7" s="11" t="s">
        <v>44</v>
      </c>
    </row>
    <row r="8" spans="1:33" x14ac:dyDescent="0.2">
      <c r="A8" s="8">
        <v>898</v>
      </c>
      <c r="B8" s="9" t="s">
        <v>52</v>
      </c>
      <c r="C8" s="10">
        <v>43228</v>
      </c>
      <c r="D8" s="11">
        <v>123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65</v>
      </c>
      <c r="J8" s="12" t="s">
        <v>66</v>
      </c>
      <c r="K8" s="13" t="s">
        <v>38</v>
      </c>
      <c r="L8" s="11" t="str">
        <f>"000172"</f>
        <v>000172</v>
      </c>
      <c r="M8" s="10">
        <v>43164</v>
      </c>
      <c r="N8" s="11" t="str">
        <f>"000170"</f>
        <v>000170</v>
      </c>
      <c r="O8" s="10">
        <v>43189</v>
      </c>
      <c r="P8" s="11" t="str">
        <f>"000177"</f>
        <v>000177</v>
      </c>
      <c r="Q8" s="10">
        <v>43189</v>
      </c>
      <c r="R8" s="11">
        <v>18</v>
      </c>
      <c r="S8" s="11" t="str">
        <f>"001050"</f>
        <v>001050</v>
      </c>
      <c r="T8" s="10">
        <v>43224</v>
      </c>
      <c r="U8" s="14">
        <v>24.996559999999999</v>
      </c>
      <c r="V8" s="14">
        <v>3.1495500000000001</v>
      </c>
      <c r="W8" s="14">
        <v>21.847010000000001</v>
      </c>
      <c r="X8" s="11">
        <v>42</v>
      </c>
      <c r="Y8" s="10">
        <v>43228</v>
      </c>
      <c r="Z8" s="11">
        <v>0</v>
      </c>
      <c r="AA8" s="12" t="s">
        <v>55</v>
      </c>
      <c r="AB8" s="11" t="s">
        <v>56</v>
      </c>
      <c r="AC8" s="12" t="s">
        <v>57</v>
      </c>
      <c r="AD8" s="11" t="s">
        <v>42</v>
      </c>
      <c r="AE8" s="12" t="s">
        <v>43</v>
      </c>
      <c r="AF8" s="14">
        <v>0.24996559999999998</v>
      </c>
      <c r="AG8" s="11" t="s">
        <v>44</v>
      </c>
    </row>
    <row r="9" spans="1:33" x14ac:dyDescent="0.2">
      <c r="A9" s="8">
        <v>899</v>
      </c>
      <c r="B9" s="9" t="s">
        <v>52</v>
      </c>
      <c r="C9" s="10">
        <v>43228</v>
      </c>
      <c r="D9" s="11">
        <v>123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67</v>
      </c>
      <c r="J9" s="12" t="s">
        <v>68</v>
      </c>
      <c r="K9" s="13" t="s">
        <v>38</v>
      </c>
      <c r="L9" s="11" t="str">
        <f>"000179"</f>
        <v>000179</v>
      </c>
      <c r="M9" s="10">
        <v>43165</v>
      </c>
      <c r="N9" s="11" t="str">
        <f>"000172"</f>
        <v>000172</v>
      </c>
      <c r="O9" s="10">
        <v>43189</v>
      </c>
      <c r="P9" s="11" t="str">
        <f>"000179"</f>
        <v>000179</v>
      </c>
      <c r="Q9" s="10">
        <v>43189</v>
      </c>
      <c r="R9" s="11">
        <v>18</v>
      </c>
      <c r="S9" s="11" t="str">
        <f>"001052"</f>
        <v>001052</v>
      </c>
      <c r="T9" s="10">
        <v>43224</v>
      </c>
      <c r="U9" s="14">
        <v>24.994720000000001</v>
      </c>
      <c r="V9" s="14">
        <v>3.1493199999999999</v>
      </c>
      <c r="W9" s="14">
        <v>21.845400000000001</v>
      </c>
      <c r="X9" s="11">
        <v>42</v>
      </c>
      <c r="Y9" s="10">
        <v>43228</v>
      </c>
      <c r="Z9" s="11">
        <v>0</v>
      </c>
      <c r="AA9" s="12" t="s">
        <v>69</v>
      </c>
      <c r="AB9" s="11" t="s">
        <v>56</v>
      </c>
      <c r="AC9" s="12" t="s">
        <v>57</v>
      </c>
      <c r="AD9" s="11" t="s">
        <v>42</v>
      </c>
      <c r="AE9" s="12" t="s">
        <v>43</v>
      </c>
      <c r="AF9" s="14">
        <v>0.24994720000000001</v>
      </c>
      <c r="AG9" s="11" t="s">
        <v>44</v>
      </c>
    </row>
    <row r="10" spans="1:33" x14ac:dyDescent="0.2">
      <c r="A10" s="8">
        <v>900</v>
      </c>
      <c r="B10" s="9" t="s">
        <v>52</v>
      </c>
      <c r="C10" s="10">
        <v>43228</v>
      </c>
      <c r="D10" s="11">
        <v>123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70</v>
      </c>
      <c r="J10" s="12" t="s">
        <v>71</v>
      </c>
      <c r="K10" s="13" t="s">
        <v>38</v>
      </c>
      <c r="L10" s="11" t="str">
        <f>"000171"</f>
        <v>000171</v>
      </c>
      <c r="M10" s="10">
        <v>43164</v>
      </c>
      <c r="N10" s="11" t="str">
        <f>"000173"</f>
        <v>000173</v>
      </c>
      <c r="O10" s="10">
        <v>43189</v>
      </c>
      <c r="P10" s="11" t="str">
        <f>"000181"</f>
        <v>000181</v>
      </c>
      <c r="Q10" s="10">
        <v>43189</v>
      </c>
      <c r="R10" s="11">
        <v>18</v>
      </c>
      <c r="S10" s="11" t="str">
        <f>"001056"</f>
        <v>001056</v>
      </c>
      <c r="T10" s="10">
        <v>43224</v>
      </c>
      <c r="U10" s="14">
        <v>24.9984</v>
      </c>
      <c r="V10" s="14">
        <v>3.1497899999999999</v>
      </c>
      <c r="W10" s="14">
        <v>21.848610000000001</v>
      </c>
      <c r="X10" s="11">
        <v>42</v>
      </c>
      <c r="Y10" s="10">
        <v>43228</v>
      </c>
      <c r="Z10" s="11">
        <v>0</v>
      </c>
      <c r="AA10" s="12" t="s">
        <v>55</v>
      </c>
      <c r="AB10" s="11" t="s">
        <v>56</v>
      </c>
      <c r="AC10" s="12" t="s">
        <v>57</v>
      </c>
      <c r="AD10" s="11" t="s">
        <v>42</v>
      </c>
      <c r="AE10" s="12" t="s">
        <v>43</v>
      </c>
      <c r="AF10" s="14">
        <v>0.24998400000000001</v>
      </c>
      <c r="AG10" s="11" t="s">
        <v>44</v>
      </c>
    </row>
    <row r="11" spans="1:33" x14ac:dyDescent="0.2">
      <c r="A11" s="8">
        <v>901</v>
      </c>
      <c r="B11" s="9" t="s">
        <v>52</v>
      </c>
      <c r="C11" s="10">
        <v>43228</v>
      </c>
      <c r="D11" s="11">
        <v>123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72</v>
      </c>
      <c r="J11" s="12" t="s">
        <v>73</v>
      </c>
      <c r="K11" s="13" t="s">
        <v>38</v>
      </c>
      <c r="L11" s="11" t="str">
        <f>"000176"</f>
        <v>000176</v>
      </c>
      <c r="M11" s="10">
        <v>43164</v>
      </c>
      <c r="N11" s="11" t="str">
        <f>"000171"</f>
        <v>000171</v>
      </c>
      <c r="O11" s="10">
        <v>43189</v>
      </c>
      <c r="P11" s="11" t="str">
        <f>"000178"</f>
        <v>000178</v>
      </c>
      <c r="Q11" s="10">
        <v>43189</v>
      </c>
      <c r="R11" s="11">
        <v>18</v>
      </c>
      <c r="S11" s="11" t="str">
        <f>"001059"</f>
        <v>001059</v>
      </c>
      <c r="T11" s="10">
        <v>43224</v>
      </c>
      <c r="U11" s="14">
        <v>24.994720000000001</v>
      </c>
      <c r="V11" s="14">
        <v>3.1493199999999999</v>
      </c>
      <c r="W11" s="14">
        <v>21.845400000000001</v>
      </c>
      <c r="X11" s="11">
        <v>42</v>
      </c>
      <c r="Y11" s="10">
        <v>43228</v>
      </c>
      <c r="Z11" s="11">
        <v>0</v>
      </c>
      <c r="AA11" s="12" t="s">
        <v>55</v>
      </c>
      <c r="AB11" s="11" t="s">
        <v>56</v>
      </c>
      <c r="AC11" s="12" t="s">
        <v>57</v>
      </c>
      <c r="AD11" s="11" t="s">
        <v>42</v>
      </c>
      <c r="AE11" s="12" t="s">
        <v>43</v>
      </c>
      <c r="AF11" s="14">
        <v>0.24994720000000001</v>
      </c>
      <c r="AG11" s="11" t="s">
        <v>44</v>
      </c>
    </row>
    <row r="12" spans="1:33" x14ac:dyDescent="0.2">
      <c r="A12" s="8">
        <v>997</v>
      </c>
      <c r="B12" s="9" t="s">
        <v>52</v>
      </c>
      <c r="C12" s="10">
        <v>43229</v>
      </c>
      <c r="D12" s="11">
        <v>123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74</v>
      </c>
      <c r="J12" s="12" t="s">
        <v>75</v>
      </c>
      <c r="K12" s="13" t="s">
        <v>47</v>
      </c>
      <c r="L12" s="11" t="str">
        <f>"000171"</f>
        <v>000171</v>
      </c>
      <c r="M12" s="10">
        <v>43151</v>
      </c>
      <c r="N12" s="11" t="str">
        <f>"000018"</f>
        <v>000018</v>
      </c>
      <c r="O12" s="10">
        <v>43203</v>
      </c>
      <c r="P12" s="11" t="str">
        <f>"000027"</f>
        <v>000027</v>
      </c>
      <c r="Q12" s="10">
        <v>43203</v>
      </c>
      <c r="R12" s="11">
        <v>17</v>
      </c>
      <c r="S12" s="11" t="str">
        <f>"001310"</f>
        <v>001310</v>
      </c>
      <c r="T12" s="10">
        <v>43229</v>
      </c>
      <c r="U12" s="14">
        <v>8.6329999999999991</v>
      </c>
      <c r="V12" s="14">
        <v>0.74255000000000004</v>
      </c>
      <c r="W12" s="14">
        <v>7.8904500000000004</v>
      </c>
      <c r="X12" s="11">
        <v>46</v>
      </c>
      <c r="Y12" s="10">
        <v>43229</v>
      </c>
      <c r="Z12" s="11">
        <v>9742063299</v>
      </c>
      <c r="AA12" s="12" t="s">
        <v>76</v>
      </c>
      <c r="AB12" s="11" t="s">
        <v>77</v>
      </c>
      <c r="AC12" s="12" t="s">
        <v>78</v>
      </c>
      <c r="AD12" s="11" t="s">
        <v>49</v>
      </c>
      <c r="AE12" s="12" t="s">
        <v>50</v>
      </c>
      <c r="AF12" s="14">
        <v>8.632999999999999E-2</v>
      </c>
      <c r="AG12" s="11" t="s">
        <v>51</v>
      </c>
    </row>
    <row r="13" spans="1:33" x14ac:dyDescent="0.2">
      <c r="A13" s="8">
        <v>1128</v>
      </c>
      <c r="B13" s="9" t="s">
        <v>52</v>
      </c>
      <c r="C13" s="10">
        <v>43230</v>
      </c>
      <c r="D13" s="11">
        <v>123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79</v>
      </c>
      <c r="J13" s="12" t="s">
        <v>80</v>
      </c>
      <c r="K13" s="13" t="s">
        <v>81</v>
      </c>
      <c r="L13" s="11" t="str">
        <f>"000027"</f>
        <v>000027</v>
      </c>
      <c r="M13" s="10">
        <v>42486</v>
      </c>
      <c r="N13" s="11" t="str">
        <f>"000097"</f>
        <v>000097</v>
      </c>
      <c r="O13" s="10">
        <v>42756</v>
      </c>
      <c r="P13" s="11" t="str">
        <f>"000255"</f>
        <v>000255</v>
      </c>
      <c r="Q13" s="10">
        <v>42756</v>
      </c>
      <c r="R13" s="11">
        <v>16</v>
      </c>
      <c r="S13" s="11" t="str">
        <f>"001339"</f>
        <v>001339</v>
      </c>
      <c r="T13" s="10">
        <v>43229</v>
      </c>
      <c r="U13" s="14">
        <v>6.8768599999999998</v>
      </c>
      <c r="V13" s="14">
        <v>0.48825000000000002</v>
      </c>
      <c r="W13" s="14">
        <v>6.3886099999999999</v>
      </c>
      <c r="X13" s="11">
        <v>48</v>
      </c>
      <c r="Y13" s="10">
        <v>43230</v>
      </c>
      <c r="Z13" s="11">
        <v>0</v>
      </c>
      <c r="AA13" s="12" t="s">
        <v>82</v>
      </c>
      <c r="AB13" s="11" t="s">
        <v>83</v>
      </c>
      <c r="AC13" s="12" t="s">
        <v>84</v>
      </c>
      <c r="AD13" s="11" t="s">
        <v>42</v>
      </c>
      <c r="AE13" s="12" t="s">
        <v>43</v>
      </c>
      <c r="AF13" s="14">
        <v>6.8768599999999999E-2</v>
      </c>
      <c r="AG13" s="11" t="s">
        <v>44</v>
      </c>
    </row>
    <row r="14" spans="1:33" x14ac:dyDescent="0.2">
      <c r="A14" s="8">
        <v>1152</v>
      </c>
      <c r="B14" s="9" t="s">
        <v>52</v>
      </c>
      <c r="C14" s="10">
        <v>43236</v>
      </c>
      <c r="D14" s="11">
        <v>123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85</v>
      </c>
      <c r="J14" s="12" t="s">
        <v>86</v>
      </c>
      <c r="K14" s="13" t="s">
        <v>38</v>
      </c>
      <c r="L14" s="11" t="str">
        <f>"000193"</f>
        <v>000193</v>
      </c>
      <c r="M14" s="10">
        <v>43159</v>
      </c>
      <c r="N14" s="11" t="str">
        <f>"000023"</f>
        <v>000023</v>
      </c>
      <c r="O14" s="10">
        <v>43215</v>
      </c>
      <c r="P14" s="11" t="str">
        <f>"000037"</f>
        <v>000037</v>
      </c>
      <c r="Q14" s="10">
        <v>43215</v>
      </c>
      <c r="R14" s="11">
        <v>18</v>
      </c>
      <c r="S14" s="11" t="str">
        <f>"001358"</f>
        <v>001358</v>
      </c>
      <c r="T14" s="10">
        <v>43229</v>
      </c>
      <c r="U14" s="14">
        <v>29.916</v>
      </c>
      <c r="V14" s="14">
        <v>3.32097</v>
      </c>
      <c r="W14" s="14">
        <v>26.595030000000001</v>
      </c>
      <c r="X14" s="11">
        <v>50</v>
      </c>
      <c r="Y14" s="10">
        <v>43236</v>
      </c>
      <c r="Z14" s="11">
        <v>9845930585</v>
      </c>
      <c r="AA14" s="12" t="s">
        <v>48</v>
      </c>
      <c r="AB14" s="11" t="s">
        <v>56</v>
      </c>
      <c r="AC14" s="12" t="s">
        <v>57</v>
      </c>
      <c r="AD14" s="11" t="s">
        <v>49</v>
      </c>
      <c r="AE14" s="12" t="s">
        <v>50</v>
      </c>
      <c r="AF14" s="14">
        <v>0.29915999999999998</v>
      </c>
      <c r="AG14" s="11" t="s">
        <v>51</v>
      </c>
    </row>
    <row r="15" spans="1:33" x14ac:dyDescent="0.2">
      <c r="A15" s="8">
        <v>1153</v>
      </c>
      <c r="B15" s="9" t="s">
        <v>52</v>
      </c>
      <c r="C15" s="10">
        <v>43236</v>
      </c>
      <c r="D15" s="11">
        <v>123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87</v>
      </c>
      <c r="J15" s="12" t="s">
        <v>88</v>
      </c>
      <c r="K15" s="13" t="s">
        <v>38</v>
      </c>
      <c r="L15" s="11" t="str">
        <f>"000219"</f>
        <v>000219</v>
      </c>
      <c r="M15" s="10">
        <v>43168</v>
      </c>
      <c r="N15" s="11" t="str">
        <f>"000022"</f>
        <v>000022</v>
      </c>
      <c r="O15" s="10">
        <v>43215</v>
      </c>
      <c r="P15" s="11" t="str">
        <f>"000038"</f>
        <v>000038</v>
      </c>
      <c r="Q15" s="10">
        <v>43215</v>
      </c>
      <c r="R15" s="11">
        <v>18</v>
      </c>
      <c r="S15" s="11" t="str">
        <f>"001359"</f>
        <v>001359</v>
      </c>
      <c r="T15" s="10">
        <v>43229</v>
      </c>
      <c r="U15" s="14">
        <v>29.99</v>
      </c>
      <c r="V15" s="14">
        <v>3.3283</v>
      </c>
      <c r="W15" s="14">
        <v>26.6617</v>
      </c>
      <c r="X15" s="11">
        <v>50</v>
      </c>
      <c r="Y15" s="10">
        <v>43236</v>
      </c>
      <c r="Z15" s="11">
        <v>9845930585</v>
      </c>
      <c r="AA15" s="12" t="s">
        <v>48</v>
      </c>
      <c r="AB15" s="11" t="s">
        <v>56</v>
      </c>
      <c r="AC15" s="12" t="s">
        <v>57</v>
      </c>
      <c r="AD15" s="11" t="s">
        <v>49</v>
      </c>
      <c r="AE15" s="12" t="s">
        <v>50</v>
      </c>
      <c r="AF15" s="14">
        <v>0.2999</v>
      </c>
      <c r="AG15" s="11" t="s">
        <v>51</v>
      </c>
    </row>
    <row r="16" spans="1:33" x14ac:dyDescent="0.2">
      <c r="A16" s="8">
        <v>1441</v>
      </c>
      <c r="B16" s="9" t="s">
        <v>52</v>
      </c>
      <c r="C16" s="10">
        <v>43242</v>
      </c>
      <c r="D16" s="11">
        <v>123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89</v>
      </c>
      <c r="J16" s="12" t="s">
        <v>90</v>
      </c>
      <c r="K16" s="13" t="s">
        <v>38</v>
      </c>
      <c r="L16" s="11" t="str">
        <f>"000001"</f>
        <v>000001</v>
      </c>
      <c r="M16" s="10">
        <v>43215</v>
      </c>
      <c r="N16" s="11" t="str">
        <f>"000025"</f>
        <v>000025</v>
      </c>
      <c r="O16" s="10">
        <v>43215</v>
      </c>
      <c r="P16" s="11" t="str">
        <f>"000039"</f>
        <v>000039</v>
      </c>
      <c r="Q16" s="10">
        <v>43216</v>
      </c>
      <c r="R16" s="11">
        <v>18</v>
      </c>
      <c r="S16" s="11" t="str">
        <f>"001587"</f>
        <v>001587</v>
      </c>
      <c r="T16" s="10">
        <v>43238</v>
      </c>
      <c r="U16" s="14">
        <v>19.911000000000001</v>
      </c>
      <c r="V16" s="14">
        <v>2.6084299999999998</v>
      </c>
      <c r="W16" s="14">
        <v>17.302569999999999</v>
      </c>
      <c r="X16" s="11">
        <v>61</v>
      </c>
      <c r="Y16" s="10">
        <v>43242</v>
      </c>
      <c r="Z16" s="11">
        <v>9886660709</v>
      </c>
      <c r="AA16" s="12" t="s">
        <v>48</v>
      </c>
      <c r="AB16" s="11" t="s">
        <v>56</v>
      </c>
      <c r="AC16" s="12" t="s">
        <v>57</v>
      </c>
      <c r="AD16" s="11" t="s">
        <v>49</v>
      </c>
      <c r="AE16" s="12" t="s">
        <v>50</v>
      </c>
      <c r="AF16" s="14">
        <v>0.19911000000000001</v>
      </c>
      <c r="AG16" s="11" t="s">
        <v>91</v>
      </c>
    </row>
    <row r="17" spans="1:33" x14ac:dyDescent="0.2">
      <c r="A17" s="8">
        <v>1862</v>
      </c>
      <c r="B17" s="9" t="s">
        <v>92</v>
      </c>
      <c r="C17" s="10">
        <v>43257</v>
      </c>
      <c r="D17" s="11">
        <v>123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93</v>
      </c>
      <c r="J17" s="12" t="s">
        <v>94</v>
      </c>
      <c r="K17" s="13" t="s">
        <v>38</v>
      </c>
      <c r="L17" s="11" t="str">
        <f>"000181"</f>
        <v>000181</v>
      </c>
      <c r="M17" s="10">
        <v>43155</v>
      </c>
      <c r="N17" s="11" t="str">
        <f>"000012"</f>
        <v>000012</v>
      </c>
      <c r="O17" s="10">
        <v>43201</v>
      </c>
      <c r="P17" s="11" t="str">
        <f>"000021"</f>
        <v>000021</v>
      </c>
      <c r="Q17" s="10">
        <v>43201</v>
      </c>
      <c r="R17" s="11">
        <v>18</v>
      </c>
      <c r="S17" s="11" t="str">
        <f>"002103"</f>
        <v>002103</v>
      </c>
      <c r="T17" s="10">
        <v>43252</v>
      </c>
      <c r="U17" s="14">
        <v>19.916499999999999</v>
      </c>
      <c r="V17" s="14">
        <v>2.1620699999999999</v>
      </c>
      <c r="W17" s="14">
        <v>17.754429999999999</v>
      </c>
      <c r="X17" s="11">
        <v>73</v>
      </c>
      <c r="Y17" s="10">
        <v>43257</v>
      </c>
      <c r="Z17" s="11">
        <v>9632347753</v>
      </c>
      <c r="AA17" s="12" t="s">
        <v>48</v>
      </c>
      <c r="AB17" s="11" t="s">
        <v>40</v>
      </c>
      <c r="AC17" s="12" t="s">
        <v>41</v>
      </c>
      <c r="AD17" s="11" t="s">
        <v>49</v>
      </c>
      <c r="AE17" s="12" t="s">
        <v>50</v>
      </c>
      <c r="AF17" s="14">
        <v>0.19916499999999998</v>
      </c>
      <c r="AG17" s="11" t="s">
        <v>51</v>
      </c>
    </row>
    <row r="18" spans="1:33" x14ac:dyDescent="0.2">
      <c r="A18" s="8">
        <v>2585</v>
      </c>
      <c r="B18" s="9" t="s">
        <v>92</v>
      </c>
      <c r="C18" s="10">
        <v>43274</v>
      </c>
      <c r="D18" s="11">
        <v>123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95</v>
      </c>
      <c r="J18" s="12" t="s">
        <v>96</v>
      </c>
      <c r="K18" s="13" t="s">
        <v>97</v>
      </c>
      <c r="L18" s="11" t="str">
        <f>"000031"</f>
        <v>000031</v>
      </c>
      <c r="M18" s="10">
        <v>42118</v>
      </c>
      <c r="N18" s="11" t="str">
        <f>"000155"</f>
        <v>000155</v>
      </c>
      <c r="O18" s="10">
        <v>42670</v>
      </c>
      <c r="P18" s="11" t="str">
        <f>"000358"</f>
        <v>000358</v>
      </c>
      <c r="Q18" s="10">
        <v>42671</v>
      </c>
      <c r="R18" s="11">
        <v>15</v>
      </c>
      <c r="S18" s="11" t="str">
        <f>"002849"</f>
        <v>002849</v>
      </c>
      <c r="T18" s="10">
        <v>43273</v>
      </c>
      <c r="U18" s="14">
        <v>14.699</v>
      </c>
      <c r="V18" s="14">
        <v>2.04325</v>
      </c>
      <c r="W18" s="14">
        <v>12.655749999999999</v>
      </c>
      <c r="X18" s="11">
        <v>99</v>
      </c>
      <c r="Y18" s="10">
        <v>43274</v>
      </c>
      <c r="Z18" s="11">
        <v>9972693939</v>
      </c>
      <c r="AA18" s="12" t="s">
        <v>98</v>
      </c>
      <c r="AB18" s="11" t="s">
        <v>83</v>
      </c>
      <c r="AC18" s="12" t="s">
        <v>84</v>
      </c>
      <c r="AD18" s="11" t="s">
        <v>49</v>
      </c>
      <c r="AE18" s="12" t="s">
        <v>50</v>
      </c>
      <c r="AF18" s="14">
        <v>0.14699000000000001</v>
      </c>
      <c r="AG18" s="11" t="s">
        <v>44</v>
      </c>
    </row>
    <row r="19" spans="1:33" x14ac:dyDescent="0.2">
      <c r="A19" s="8">
        <v>2586</v>
      </c>
      <c r="B19" s="9" t="s">
        <v>92</v>
      </c>
      <c r="C19" s="10">
        <v>43274</v>
      </c>
      <c r="D19" s="11">
        <v>123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99</v>
      </c>
      <c r="J19" s="12" t="s">
        <v>100</v>
      </c>
      <c r="K19" s="13" t="s">
        <v>97</v>
      </c>
      <c r="L19" s="11" t="str">
        <f>"00060a"</f>
        <v>00060a</v>
      </c>
      <c r="M19" s="10">
        <v>42511</v>
      </c>
      <c r="N19" s="11" t="str">
        <f>"000189"</f>
        <v>000189</v>
      </c>
      <c r="O19" s="10">
        <v>42670</v>
      </c>
      <c r="P19" s="11" t="str">
        <f>"000359"</f>
        <v>000359</v>
      </c>
      <c r="Q19" s="10">
        <v>42671</v>
      </c>
      <c r="R19" s="11">
        <v>16</v>
      </c>
      <c r="S19" s="11" t="str">
        <f>"002850"</f>
        <v>002850</v>
      </c>
      <c r="T19" s="10">
        <v>43273</v>
      </c>
      <c r="U19" s="14">
        <v>9.0660000000000007</v>
      </c>
      <c r="V19" s="14">
        <v>1.1879</v>
      </c>
      <c r="W19" s="14">
        <v>7.8780999999999999</v>
      </c>
      <c r="X19" s="11">
        <v>99</v>
      </c>
      <c r="Y19" s="10">
        <v>43274</v>
      </c>
      <c r="Z19" s="11">
        <v>9972693939</v>
      </c>
      <c r="AA19" s="12" t="s">
        <v>98</v>
      </c>
      <c r="AB19" s="11" t="s">
        <v>83</v>
      </c>
      <c r="AC19" s="12" t="s">
        <v>84</v>
      </c>
      <c r="AD19" s="11" t="s">
        <v>49</v>
      </c>
      <c r="AE19" s="12" t="s">
        <v>50</v>
      </c>
      <c r="AF19" s="14">
        <v>9.0660000000000004E-2</v>
      </c>
      <c r="AG19" s="11" t="s">
        <v>44</v>
      </c>
    </row>
    <row r="20" spans="1:33" x14ac:dyDescent="0.2">
      <c r="A20" s="8">
        <v>2891</v>
      </c>
      <c r="B20" s="9" t="s">
        <v>101</v>
      </c>
      <c r="C20" s="10">
        <v>43283</v>
      </c>
      <c r="D20" s="11">
        <v>123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102</v>
      </c>
      <c r="J20" s="12" t="s">
        <v>103</v>
      </c>
      <c r="K20" s="13" t="s">
        <v>38</v>
      </c>
      <c r="L20" s="11" t="str">
        <f>"000018"</f>
        <v>000018</v>
      </c>
      <c r="M20" s="10">
        <v>42292</v>
      </c>
      <c r="N20" s="11" t="str">
        <f>"000004"</f>
        <v>000004</v>
      </c>
      <c r="O20" s="10">
        <v>42508</v>
      </c>
      <c r="P20" s="11" t="str">
        <f>"000044"</f>
        <v>000044</v>
      </c>
      <c r="Q20" s="10">
        <v>42543</v>
      </c>
      <c r="R20" s="11">
        <v>16</v>
      </c>
      <c r="S20" s="11" t="str">
        <f>"006598"</f>
        <v>006598</v>
      </c>
      <c r="T20" s="10">
        <v>42751</v>
      </c>
      <c r="U20" s="14">
        <v>1.0449999999999999</v>
      </c>
      <c r="V20" s="14">
        <v>0.105</v>
      </c>
      <c r="W20" s="14">
        <v>0.94</v>
      </c>
      <c r="X20" s="11">
        <v>108</v>
      </c>
      <c r="Y20" s="10">
        <v>43283</v>
      </c>
      <c r="Z20" s="11">
        <v>9845652625</v>
      </c>
      <c r="AA20" s="12" t="s">
        <v>104</v>
      </c>
      <c r="AB20" s="11" t="s">
        <v>105</v>
      </c>
      <c r="AC20" s="12" t="s">
        <v>106</v>
      </c>
      <c r="AD20" s="11" t="s">
        <v>107</v>
      </c>
      <c r="AE20" s="12" t="s">
        <v>108</v>
      </c>
      <c r="AF20" s="14">
        <v>1.0449999999999999E-2</v>
      </c>
      <c r="AG20" s="11" t="s">
        <v>44</v>
      </c>
    </row>
    <row r="21" spans="1:33" x14ac:dyDescent="0.2">
      <c r="A21" s="8">
        <v>3247</v>
      </c>
      <c r="B21" s="9" t="s">
        <v>101</v>
      </c>
      <c r="C21" s="10">
        <v>43293</v>
      </c>
      <c r="D21" s="11">
        <v>123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109</v>
      </c>
      <c r="J21" s="12" t="s">
        <v>110</v>
      </c>
      <c r="K21" s="13" t="s">
        <v>111</v>
      </c>
      <c r="L21" s="11" t="str">
        <f>"000175"</f>
        <v>000175</v>
      </c>
      <c r="M21" s="10">
        <v>43154</v>
      </c>
      <c r="N21" s="11" t="str">
        <f>"000035"</f>
        <v>000035</v>
      </c>
      <c r="O21" s="10">
        <v>43274</v>
      </c>
      <c r="P21" s="11" t="str">
        <f>"000084"</f>
        <v>000084</v>
      </c>
      <c r="Q21" s="10">
        <v>43274</v>
      </c>
      <c r="R21" s="11">
        <v>18</v>
      </c>
      <c r="S21" s="11" t="str">
        <f>"003576"</f>
        <v>003576</v>
      </c>
      <c r="T21" s="10">
        <v>43292</v>
      </c>
      <c r="U21" s="14">
        <v>14.976000000000001</v>
      </c>
      <c r="V21" s="14">
        <v>1.4134</v>
      </c>
      <c r="W21" s="14">
        <v>13.5626</v>
      </c>
      <c r="X21" s="11">
        <v>122</v>
      </c>
      <c r="Y21" s="10">
        <v>43293</v>
      </c>
      <c r="Z21" s="11">
        <v>9945634696</v>
      </c>
      <c r="AA21" s="12" t="s">
        <v>48</v>
      </c>
      <c r="AB21" s="11" t="s">
        <v>40</v>
      </c>
      <c r="AC21" s="12" t="s">
        <v>41</v>
      </c>
      <c r="AD21" s="11" t="s">
        <v>49</v>
      </c>
      <c r="AE21" s="12" t="s">
        <v>50</v>
      </c>
      <c r="AF21" s="14">
        <v>0.14976</v>
      </c>
      <c r="AG21" s="11" t="s">
        <v>51</v>
      </c>
    </row>
    <row r="22" spans="1:33" x14ac:dyDescent="0.2">
      <c r="A22" s="8">
        <v>3561</v>
      </c>
      <c r="B22" s="9" t="s">
        <v>101</v>
      </c>
      <c r="C22" s="10">
        <v>43299</v>
      </c>
      <c r="D22" s="11">
        <v>123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112</v>
      </c>
      <c r="J22" s="12" t="s">
        <v>113</v>
      </c>
      <c r="K22" s="13" t="s">
        <v>38</v>
      </c>
      <c r="L22" s="11" t="str">
        <f>"000018"</f>
        <v>000018</v>
      </c>
      <c r="M22" s="10">
        <v>42934</v>
      </c>
      <c r="N22" s="11" t="str">
        <f>"000007"</f>
        <v>000007</v>
      </c>
      <c r="O22" s="10">
        <v>43183</v>
      </c>
      <c r="P22" s="11" t="str">
        <f>"000143"</f>
        <v>000143</v>
      </c>
      <c r="Q22" s="10">
        <v>43183</v>
      </c>
      <c r="R22" s="11">
        <v>16</v>
      </c>
      <c r="S22" s="11" t="str">
        <f>"004307"</f>
        <v>004307</v>
      </c>
      <c r="T22" s="10">
        <v>43306</v>
      </c>
      <c r="U22" s="14">
        <v>7.7809900000000001</v>
      </c>
      <c r="V22" s="14">
        <v>0.69945000000000002</v>
      </c>
      <c r="W22" s="14">
        <v>7.0815400000000004</v>
      </c>
      <c r="X22" s="11">
        <v>127</v>
      </c>
      <c r="Y22" s="10">
        <v>43299</v>
      </c>
      <c r="Z22" s="11">
        <v>0</v>
      </c>
      <c r="AA22" s="12" t="s">
        <v>114</v>
      </c>
      <c r="AB22" s="11" t="s">
        <v>115</v>
      </c>
      <c r="AC22" s="12" t="s">
        <v>116</v>
      </c>
      <c r="AD22" s="11" t="s">
        <v>42</v>
      </c>
      <c r="AE22" s="12" t="s">
        <v>43</v>
      </c>
      <c r="AF22" s="14">
        <v>7.7809900000000001E-2</v>
      </c>
      <c r="AG22" s="11" t="s">
        <v>44</v>
      </c>
    </row>
    <row r="23" spans="1:33" x14ac:dyDescent="0.2">
      <c r="A23" s="8">
        <v>3679</v>
      </c>
      <c r="B23" s="9" t="s">
        <v>101</v>
      </c>
      <c r="C23" s="10">
        <v>43300</v>
      </c>
      <c r="D23" s="11">
        <v>123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117</v>
      </c>
      <c r="J23" s="12" t="s">
        <v>118</v>
      </c>
      <c r="K23" s="13" t="s">
        <v>119</v>
      </c>
      <c r="L23" s="11" t="str">
        <f>"000266"</f>
        <v>000266</v>
      </c>
      <c r="M23" s="10">
        <v>43276</v>
      </c>
      <c r="N23" s="11" t="str">
        <f>"000036"</f>
        <v>000036</v>
      </c>
      <c r="O23" s="10">
        <v>43276</v>
      </c>
      <c r="P23" s="11" t="str">
        <f>"000086"</f>
        <v>000086</v>
      </c>
      <c r="Q23" s="10">
        <v>43276</v>
      </c>
      <c r="R23" s="11">
        <v>17</v>
      </c>
      <c r="S23" s="11" t="str">
        <f>"003753"</f>
        <v>003753</v>
      </c>
      <c r="T23" s="10">
        <v>43294</v>
      </c>
      <c r="U23" s="14">
        <v>12.984999999999999</v>
      </c>
      <c r="V23" s="14">
        <v>1.3113999999999999</v>
      </c>
      <c r="W23" s="14">
        <v>11.6736</v>
      </c>
      <c r="X23" s="11">
        <v>133</v>
      </c>
      <c r="Y23" s="10">
        <v>43300</v>
      </c>
      <c r="Z23" s="11">
        <v>9742063299</v>
      </c>
      <c r="AA23" s="12" t="s">
        <v>120</v>
      </c>
      <c r="AB23" s="11" t="s">
        <v>77</v>
      </c>
      <c r="AC23" s="12" t="s">
        <v>78</v>
      </c>
      <c r="AD23" s="11" t="s">
        <v>49</v>
      </c>
      <c r="AE23" s="12" t="s">
        <v>50</v>
      </c>
      <c r="AF23" s="14">
        <v>0.12984999999999999</v>
      </c>
      <c r="AG23" s="11" t="s">
        <v>91</v>
      </c>
    </row>
    <row r="24" spans="1:33" x14ac:dyDescent="0.2">
      <c r="A24" s="8">
        <v>3937</v>
      </c>
      <c r="B24" s="9" t="s">
        <v>101</v>
      </c>
      <c r="C24" s="10">
        <v>43305</v>
      </c>
      <c r="D24" s="11">
        <v>123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121</v>
      </c>
      <c r="J24" s="12" t="s">
        <v>122</v>
      </c>
      <c r="K24" s="13" t="s">
        <v>123</v>
      </c>
      <c r="L24" s="11" t="str">
        <f>"000051"</f>
        <v>000051</v>
      </c>
      <c r="M24" s="10">
        <v>42450</v>
      </c>
      <c r="N24" s="11" t="str">
        <f>""</f>
        <v/>
      </c>
      <c r="O24" s="10"/>
      <c r="P24" s="11" t="str">
        <f>""</f>
        <v/>
      </c>
      <c r="Q24" s="10"/>
      <c r="R24" s="11">
        <v>16</v>
      </c>
      <c r="S24" s="11" t="str">
        <f>""</f>
        <v/>
      </c>
      <c r="T24" s="10"/>
      <c r="U24" s="14">
        <v>3.4020000000000001</v>
      </c>
      <c r="V24" s="14">
        <v>0.40555000000000002</v>
      </c>
      <c r="W24" s="14">
        <v>2.9964499999999998</v>
      </c>
      <c r="X24" s="11">
        <v>139</v>
      </c>
      <c r="Y24" s="10">
        <v>43305</v>
      </c>
      <c r="Z24" s="11">
        <v>9632347753</v>
      </c>
      <c r="AA24" s="12" t="s">
        <v>124</v>
      </c>
      <c r="AB24" s="11" t="s">
        <v>83</v>
      </c>
      <c r="AC24" s="12" t="s">
        <v>84</v>
      </c>
      <c r="AD24" s="11" t="s">
        <v>49</v>
      </c>
      <c r="AE24" s="12" t="s">
        <v>50</v>
      </c>
      <c r="AF24" s="14">
        <v>3.4020000000000002E-2</v>
      </c>
      <c r="AG24" s="11" t="s">
        <v>44</v>
      </c>
    </row>
    <row r="25" spans="1:33" x14ac:dyDescent="0.2">
      <c r="A25" s="8">
        <v>4131</v>
      </c>
      <c r="B25" s="9" t="s">
        <v>101</v>
      </c>
      <c r="C25" s="10">
        <v>43308</v>
      </c>
      <c r="D25" s="11">
        <v>123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125</v>
      </c>
      <c r="J25" s="12" t="s">
        <v>126</v>
      </c>
      <c r="K25" s="13" t="s">
        <v>127</v>
      </c>
      <c r="L25" s="11" t="str">
        <f>"000198"</f>
        <v>000198</v>
      </c>
      <c r="M25" s="10">
        <v>43160</v>
      </c>
      <c r="N25" s="11" t="str">
        <f>"000040"</f>
        <v>000040</v>
      </c>
      <c r="O25" s="10">
        <v>43284</v>
      </c>
      <c r="P25" s="11" t="str">
        <f>"000099"</f>
        <v>000099</v>
      </c>
      <c r="Q25" s="10">
        <v>43285</v>
      </c>
      <c r="R25" s="11">
        <v>18</v>
      </c>
      <c r="S25" s="11" t="str">
        <f>"004421"</f>
        <v>004421</v>
      </c>
      <c r="T25" s="10">
        <v>43306</v>
      </c>
      <c r="U25" s="14">
        <v>4.923</v>
      </c>
      <c r="V25" s="14">
        <v>0.40875</v>
      </c>
      <c r="W25" s="14">
        <v>4.5142499999999997</v>
      </c>
      <c r="X25" s="11">
        <v>145</v>
      </c>
      <c r="Y25" s="10">
        <v>43308</v>
      </c>
      <c r="Z25" s="11">
        <v>9632347753</v>
      </c>
      <c r="AA25" s="12" t="s">
        <v>48</v>
      </c>
      <c r="AB25" s="11" t="s">
        <v>40</v>
      </c>
      <c r="AC25" s="12" t="s">
        <v>41</v>
      </c>
      <c r="AD25" s="11" t="s">
        <v>49</v>
      </c>
      <c r="AE25" s="12" t="s">
        <v>50</v>
      </c>
      <c r="AF25" s="14">
        <v>4.9230000000000003E-2</v>
      </c>
      <c r="AG25" s="11" t="s">
        <v>51</v>
      </c>
    </row>
    <row r="26" spans="1:33" x14ac:dyDescent="0.2">
      <c r="A26" s="8">
        <v>4132</v>
      </c>
      <c r="B26" s="9" t="s">
        <v>101</v>
      </c>
      <c r="C26" s="10">
        <v>43308</v>
      </c>
      <c r="D26" s="11">
        <v>123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128</v>
      </c>
      <c r="J26" s="12" t="s">
        <v>129</v>
      </c>
      <c r="K26" s="13" t="s">
        <v>130</v>
      </c>
      <c r="L26" s="11" t="str">
        <f>"000195"</f>
        <v>000195</v>
      </c>
      <c r="M26" s="10">
        <v>43160</v>
      </c>
      <c r="N26" s="11" t="str">
        <f>"000041"</f>
        <v>000041</v>
      </c>
      <c r="O26" s="10">
        <v>43284</v>
      </c>
      <c r="P26" s="11" t="str">
        <f>"000098"</f>
        <v>000098</v>
      </c>
      <c r="Q26" s="10">
        <v>43285</v>
      </c>
      <c r="R26" s="11">
        <v>18</v>
      </c>
      <c r="S26" s="11" t="str">
        <f>"004422"</f>
        <v>004422</v>
      </c>
      <c r="T26" s="10">
        <v>43306</v>
      </c>
      <c r="U26" s="14">
        <v>1.9790000000000001</v>
      </c>
      <c r="V26" s="14">
        <v>0.1704</v>
      </c>
      <c r="W26" s="14">
        <v>1.8086</v>
      </c>
      <c r="X26" s="11">
        <v>145</v>
      </c>
      <c r="Y26" s="10">
        <v>43308</v>
      </c>
      <c r="Z26" s="11">
        <v>9632347753</v>
      </c>
      <c r="AA26" s="12" t="s">
        <v>48</v>
      </c>
      <c r="AB26" s="11" t="s">
        <v>40</v>
      </c>
      <c r="AC26" s="12" t="s">
        <v>41</v>
      </c>
      <c r="AD26" s="11" t="s">
        <v>49</v>
      </c>
      <c r="AE26" s="12" t="s">
        <v>50</v>
      </c>
      <c r="AF26" s="14">
        <v>1.9790000000000002E-2</v>
      </c>
      <c r="AG26" s="11" t="s">
        <v>51</v>
      </c>
    </row>
    <row r="27" spans="1:33" x14ac:dyDescent="0.2">
      <c r="A27" s="8">
        <v>4133</v>
      </c>
      <c r="B27" s="9" t="s">
        <v>101</v>
      </c>
      <c r="C27" s="10">
        <v>43308</v>
      </c>
      <c r="D27" s="11">
        <v>123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112</v>
      </c>
      <c r="J27" s="12" t="s">
        <v>113</v>
      </c>
      <c r="K27" s="13" t="s">
        <v>38</v>
      </c>
      <c r="L27" s="11" t="str">
        <f>"000018"</f>
        <v>000018</v>
      </c>
      <c r="M27" s="10">
        <v>42934</v>
      </c>
      <c r="N27" s="11" t="str">
        <f>"000007"</f>
        <v>000007</v>
      </c>
      <c r="O27" s="10">
        <v>43183</v>
      </c>
      <c r="P27" s="11" t="str">
        <f>"000143"</f>
        <v>000143</v>
      </c>
      <c r="Q27" s="10">
        <v>43183</v>
      </c>
      <c r="R27" s="11">
        <v>16</v>
      </c>
      <c r="S27" s="11" t="str">
        <f>"004307"</f>
        <v>004307</v>
      </c>
      <c r="T27" s="10">
        <v>43306</v>
      </c>
      <c r="U27" s="14">
        <v>1.55619</v>
      </c>
      <c r="V27" s="14">
        <v>0.17047000000000001</v>
      </c>
      <c r="W27" s="14">
        <v>1.3857200000000001</v>
      </c>
      <c r="X27" s="11">
        <v>146</v>
      </c>
      <c r="Y27" s="10">
        <v>43308</v>
      </c>
      <c r="Z27" s="11">
        <v>0</v>
      </c>
      <c r="AA27" s="12" t="s">
        <v>114</v>
      </c>
      <c r="AB27" s="11" t="s">
        <v>115</v>
      </c>
      <c r="AC27" s="12" t="s">
        <v>116</v>
      </c>
      <c r="AD27" s="11" t="s">
        <v>42</v>
      </c>
      <c r="AE27" s="12" t="s">
        <v>43</v>
      </c>
      <c r="AF27" s="14">
        <v>1.55619E-2</v>
      </c>
      <c r="AG27" s="11" t="s">
        <v>44</v>
      </c>
    </row>
    <row r="28" spans="1:33" x14ac:dyDescent="0.2">
      <c r="A28" s="8">
        <v>4529</v>
      </c>
      <c r="B28" s="9" t="s">
        <v>131</v>
      </c>
      <c r="C28" s="10">
        <v>43318</v>
      </c>
      <c r="D28" s="11">
        <v>123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132</v>
      </c>
      <c r="J28" s="12" t="s">
        <v>133</v>
      </c>
      <c r="K28" s="13" t="s">
        <v>127</v>
      </c>
      <c r="L28" s="11" t="str">
        <f>"000118"</f>
        <v>000118</v>
      </c>
      <c r="M28" s="10">
        <v>42825</v>
      </c>
      <c r="N28" s="11" t="str">
        <f>"000257"</f>
        <v>000257</v>
      </c>
      <c r="O28" s="10">
        <v>42853</v>
      </c>
      <c r="P28" s="11" t="str">
        <f>"000020"</f>
        <v>000020</v>
      </c>
      <c r="Q28" s="10">
        <v>42853</v>
      </c>
      <c r="R28" s="11">
        <v>17</v>
      </c>
      <c r="S28" s="11" t="str">
        <f>"006771"</f>
        <v>006771</v>
      </c>
      <c r="T28" s="10">
        <v>43021</v>
      </c>
      <c r="U28" s="14">
        <v>9.9380000000000006</v>
      </c>
      <c r="V28" s="14">
        <v>1.2565999999999999</v>
      </c>
      <c r="W28" s="14">
        <v>8.6814</v>
      </c>
      <c r="X28" s="11">
        <v>157</v>
      </c>
      <c r="Y28" s="10">
        <v>43318</v>
      </c>
      <c r="Z28" s="11">
        <v>9448160234</v>
      </c>
      <c r="AA28" s="12" t="s">
        <v>134</v>
      </c>
      <c r="AB28" s="11" t="s">
        <v>83</v>
      </c>
      <c r="AC28" s="12" t="s">
        <v>84</v>
      </c>
      <c r="AD28" s="11" t="s">
        <v>49</v>
      </c>
      <c r="AE28" s="12" t="s">
        <v>50</v>
      </c>
      <c r="AF28" s="14">
        <v>9.938000000000001E-2</v>
      </c>
      <c r="AG28" s="11" t="s">
        <v>44</v>
      </c>
    </row>
    <row r="29" spans="1:33" x14ac:dyDescent="0.2">
      <c r="A29" s="8">
        <v>6173</v>
      </c>
      <c r="B29" s="9" t="s">
        <v>135</v>
      </c>
      <c r="C29" s="10">
        <v>43385</v>
      </c>
      <c r="D29" s="11">
        <v>123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136</v>
      </c>
      <c r="J29" s="12" t="s">
        <v>137</v>
      </c>
      <c r="K29" s="13" t="s">
        <v>127</v>
      </c>
      <c r="L29" s="11" t="str">
        <f>"000284"</f>
        <v>000284</v>
      </c>
      <c r="M29" s="10">
        <v>41327</v>
      </c>
      <c r="N29" s="11" t="str">
        <f>""</f>
        <v/>
      </c>
      <c r="O29" s="10"/>
      <c r="P29" s="11" t="str">
        <f>""</f>
        <v/>
      </c>
      <c r="Q29" s="10"/>
      <c r="R29" s="11">
        <v>13</v>
      </c>
      <c r="S29" s="11" t="str">
        <f>""</f>
        <v/>
      </c>
      <c r="T29" s="10"/>
      <c r="U29" s="14">
        <v>35.04</v>
      </c>
      <c r="V29" s="14">
        <v>5.5360399999999998</v>
      </c>
      <c r="W29" s="14">
        <v>29.503959999999999</v>
      </c>
      <c r="X29" s="11">
        <v>231</v>
      </c>
      <c r="Y29" s="10">
        <v>43385</v>
      </c>
      <c r="Z29" s="11">
        <v>9538239227</v>
      </c>
      <c r="AA29" s="12" t="s">
        <v>48</v>
      </c>
      <c r="AB29" s="11" t="s">
        <v>138</v>
      </c>
      <c r="AC29" s="12" t="s">
        <v>139</v>
      </c>
      <c r="AD29" s="11" t="s">
        <v>49</v>
      </c>
      <c r="AE29" s="12" t="s">
        <v>50</v>
      </c>
      <c r="AF29" s="14">
        <f t="shared" ref="AF29:AF41" si="0">U29/100</f>
        <v>0.35039999999999999</v>
      </c>
      <c r="AG29" s="11" t="s">
        <v>44</v>
      </c>
    </row>
    <row r="30" spans="1:33" x14ac:dyDescent="0.2">
      <c r="A30" s="8">
        <v>6580</v>
      </c>
      <c r="B30" s="9" t="s">
        <v>135</v>
      </c>
      <c r="C30" s="10">
        <v>43389</v>
      </c>
      <c r="D30" s="11">
        <v>123</v>
      </c>
      <c r="E30" s="12" t="s">
        <v>34</v>
      </c>
      <c r="F30" s="12" t="s">
        <v>34</v>
      </c>
      <c r="G30" s="12" t="s">
        <v>34</v>
      </c>
      <c r="H30" s="12" t="s">
        <v>35</v>
      </c>
      <c r="I30" s="11" t="s">
        <v>140</v>
      </c>
      <c r="J30" s="12" t="s">
        <v>141</v>
      </c>
      <c r="K30" s="13" t="s">
        <v>142</v>
      </c>
      <c r="L30" s="11" t="str">
        <f>"000102"</f>
        <v>000102</v>
      </c>
      <c r="M30" s="10">
        <v>43118</v>
      </c>
      <c r="N30" s="11" t="str">
        <f>"000048"</f>
        <v>000048</v>
      </c>
      <c r="O30" s="10">
        <v>43119</v>
      </c>
      <c r="P30" s="11" t="str">
        <f>"000109"</f>
        <v>000109</v>
      </c>
      <c r="Q30" s="10">
        <v>43119</v>
      </c>
      <c r="R30" s="11">
        <v>17</v>
      </c>
      <c r="S30" s="11" t="str">
        <f>"006437"</f>
        <v>006437</v>
      </c>
      <c r="T30" s="10">
        <v>43382</v>
      </c>
      <c r="U30" s="14">
        <v>7.56</v>
      </c>
      <c r="V30" s="14">
        <v>0.79115000000000002</v>
      </c>
      <c r="W30" s="14">
        <v>6.7688499999999996</v>
      </c>
      <c r="X30" s="11">
        <v>241</v>
      </c>
      <c r="Y30" s="10">
        <v>43389</v>
      </c>
      <c r="Z30" s="11">
        <v>9448040740</v>
      </c>
      <c r="AA30" s="12" t="s">
        <v>143</v>
      </c>
      <c r="AB30" s="11" t="s">
        <v>83</v>
      </c>
      <c r="AC30" s="12" t="s">
        <v>84</v>
      </c>
      <c r="AD30" s="11" t="s">
        <v>49</v>
      </c>
      <c r="AE30" s="12" t="s">
        <v>50</v>
      </c>
      <c r="AF30" s="14">
        <f t="shared" si="0"/>
        <v>7.5600000000000001E-2</v>
      </c>
      <c r="AG30" s="11" t="s">
        <v>44</v>
      </c>
    </row>
    <row r="31" spans="1:33" x14ac:dyDescent="0.2">
      <c r="A31" s="8">
        <v>6581</v>
      </c>
      <c r="B31" s="9" t="s">
        <v>135</v>
      </c>
      <c r="C31" s="10">
        <v>43389</v>
      </c>
      <c r="D31" s="11">
        <v>123</v>
      </c>
      <c r="E31" s="12" t="s">
        <v>34</v>
      </c>
      <c r="F31" s="12" t="s">
        <v>34</v>
      </c>
      <c r="G31" s="12" t="s">
        <v>34</v>
      </c>
      <c r="H31" s="12" t="s">
        <v>35</v>
      </c>
      <c r="I31" s="11" t="s">
        <v>144</v>
      </c>
      <c r="J31" s="12" t="s">
        <v>145</v>
      </c>
      <c r="K31" s="13" t="s">
        <v>38</v>
      </c>
      <c r="L31" s="11" t="str">
        <f>"000051"</f>
        <v>000051</v>
      </c>
      <c r="M31" s="10">
        <v>42506</v>
      </c>
      <c r="N31" s="11" t="str">
        <f>"000098"</f>
        <v>000098</v>
      </c>
      <c r="O31" s="10">
        <v>42581</v>
      </c>
      <c r="P31" s="11" t="str">
        <f>"000190"</f>
        <v>000190</v>
      </c>
      <c r="Q31" s="10">
        <v>42581</v>
      </c>
      <c r="R31" s="11">
        <v>16</v>
      </c>
      <c r="S31" s="11" t="str">
        <f>"006492"</f>
        <v>006492</v>
      </c>
      <c r="T31" s="10">
        <v>43383</v>
      </c>
      <c r="U31" s="14">
        <v>8.8330000000000002</v>
      </c>
      <c r="V31" s="14">
        <v>1.11385</v>
      </c>
      <c r="W31" s="14">
        <v>7.71915</v>
      </c>
      <c r="X31" s="11">
        <v>244</v>
      </c>
      <c r="Y31" s="10">
        <v>43389</v>
      </c>
      <c r="Z31" s="11">
        <v>7411646287</v>
      </c>
      <c r="AA31" s="12" t="s">
        <v>146</v>
      </c>
      <c r="AB31" s="11" t="s">
        <v>83</v>
      </c>
      <c r="AC31" s="12" t="s">
        <v>84</v>
      </c>
      <c r="AD31" s="11" t="s">
        <v>49</v>
      </c>
      <c r="AE31" s="12" t="s">
        <v>50</v>
      </c>
      <c r="AF31" s="14">
        <f t="shared" si="0"/>
        <v>8.8330000000000006E-2</v>
      </c>
      <c r="AG31" s="11" t="s">
        <v>44</v>
      </c>
    </row>
    <row r="32" spans="1:33" x14ac:dyDescent="0.2">
      <c r="A32" s="8">
        <v>6582</v>
      </c>
      <c r="B32" s="9" t="s">
        <v>135</v>
      </c>
      <c r="C32" s="10">
        <v>43389</v>
      </c>
      <c r="D32" s="11">
        <v>123</v>
      </c>
      <c r="E32" s="12" t="s">
        <v>34</v>
      </c>
      <c r="F32" s="12" t="s">
        <v>34</v>
      </c>
      <c r="G32" s="12" t="s">
        <v>34</v>
      </c>
      <c r="H32" s="12" t="s">
        <v>35</v>
      </c>
      <c r="I32" s="11" t="s">
        <v>147</v>
      </c>
      <c r="J32" s="12" t="s">
        <v>148</v>
      </c>
      <c r="K32" s="13" t="s">
        <v>127</v>
      </c>
      <c r="L32" s="11" t="str">
        <f>"000049"</f>
        <v>000049</v>
      </c>
      <c r="M32" s="10">
        <v>42506</v>
      </c>
      <c r="N32" s="11" t="str">
        <f>"000132"</f>
        <v>000132</v>
      </c>
      <c r="O32" s="10">
        <v>42539</v>
      </c>
      <c r="P32" s="11" t="str">
        <f>"000403"</f>
        <v>000403</v>
      </c>
      <c r="Q32" s="10">
        <v>42724</v>
      </c>
      <c r="R32" s="11">
        <v>16</v>
      </c>
      <c r="S32" s="11" t="str">
        <f>"006494"</f>
        <v>006494</v>
      </c>
      <c r="T32" s="10">
        <v>43383</v>
      </c>
      <c r="U32" s="14">
        <v>3.6619999999999999</v>
      </c>
      <c r="V32" s="14">
        <v>0.44314999999999999</v>
      </c>
      <c r="W32" s="14">
        <v>3.2188500000000002</v>
      </c>
      <c r="X32" s="11">
        <v>244</v>
      </c>
      <c r="Y32" s="10">
        <v>43389</v>
      </c>
      <c r="Z32" s="11">
        <v>9844938166</v>
      </c>
      <c r="AA32" s="12" t="s">
        <v>149</v>
      </c>
      <c r="AB32" s="11" t="s">
        <v>83</v>
      </c>
      <c r="AC32" s="12" t="s">
        <v>84</v>
      </c>
      <c r="AD32" s="11" t="s">
        <v>49</v>
      </c>
      <c r="AE32" s="12" t="s">
        <v>50</v>
      </c>
      <c r="AF32" s="14">
        <f t="shared" si="0"/>
        <v>3.662E-2</v>
      </c>
      <c r="AG32" s="11" t="s">
        <v>44</v>
      </c>
    </row>
    <row r="33" spans="1:33" x14ac:dyDescent="0.2">
      <c r="A33" s="8">
        <v>6583</v>
      </c>
      <c r="B33" s="9" t="s">
        <v>135</v>
      </c>
      <c r="C33" s="10">
        <v>43389</v>
      </c>
      <c r="D33" s="11">
        <v>123</v>
      </c>
      <c r="E33" s="12" t="s">
        <v>34</v>
      </c>
      <c r="F33" s="12" t="s">
        <v>34</v>
      </c>
      <c r="G33" s="12" t="s">
        <v>34</v>
      </c>
      <c r="H33" s="12" t="s">
        <v>35</v>
      </c>
      <c r="I33" s="11" t="s">
        <v>150</v>
      </c>
      <c r="J33" s="12" t="s">
        <v>151</v>
      </c>
      <c r="K33" s="13" t="s">
        <v>127</v>
      </c>
      <c r="L33" s="11" t="str">
        <f>"000055"</f>
        <v>000055</v>
      </c>
      <c r="M33" s="10">
        <v>42506</v>
      </c>
      <c r="N33" s="11" t="str">
        <f>"000215"</f>
        <v>000215</v>
      </c>
      <c r="O33" s="10">
        <v>42724</v>
      </c>
      <c r="P33" s="11" t="str">
        <f>"000417"</f>
        <v>000417</v>
      </c>
      <c r="Q33" s="10">
        <v>42726</v>
      </c>
      <c r="R33" s="11">
        <v>16</v>
      </c>
      <c r="S33" s="11" t="str">
        <f>"006496"</f>
        <v>006496</v>
      </c>
      <c r="T33" s="10">
        <v>43383</v>
      </c>
      <c r="U33" s="14">
        <v>4.5990000000000002</v>
      </c>
      <c r="V33" s="14">
        <v>0.51060000000000005</v>
      </c>
      <c r="W33" s="14">
        <v>4.0884</v>
      </c>
      <c r="X33" s="11">
        <v>244</v>
      </c>
      <c r="Y33" s="10">
        <v>43389</v>
      </c>
      <c r="Z33" s="11">
        <v>9845529203</v>
      </c>
      <c r="AA33" s="12" t="s">
        <v>152</v>
      </c>
      <c r="AB33" s="11" t="s">
        <v>83</v>
      </c>
      <c r="AC33" s="12" t="s">
        <v>84</v>
      </c>
      <c r="AD33" s="11" t="s">
        <v>49</v>
      </c>
      <c r="AE33" s="12" t="s">
        <v>50</v>
      </c>
      <c r="AF33" s="14">
        <f t="shared" si="0"/>
        <v>4.5990000000000003E-2</v>
      </c>
      <c r="AG33" s="11" t="s">
        <v>44</v>
      </c>
    </row>
    <row r="34" spans="1:33" x14ac:dyDescent="0.2">
      <c r="A34" s="8">
        <v>7014</v>
      </c>
      <c r="B34" s="9" t="s">
        <v>135</v>
      </c>
      <c r="C34" s="10">
        <v>43403</v>
      </c>
      <c r="D34" s="11">
        <v>123</v>
      </c>
      <c r="E34" s="12" t="s">
        <v>34</v>
      </c>
      <c r="F34" s="12" t="s">
        <v>34</v>
      </c>
      <c r="G34" s="12" t="s">
        <v>34</v>
      </c>
      <c r="H34" s="12" t="s">
        <v>35</v>
      </c>
      <c r="I34" s="11" t="s">
        <v>153</v>
      </c>
      <c r="J34" s="12" t="s">
        <v>154</v>
      </c>
      <c r="K34" s="13" t="s">
        <v>81</v>
      </c>
      <c r="L34" s="11" t="str">
        <f>"000 01"</f>
        <v>000 01</v>
      </c>
      <c r="M34" s="10">
        <v>42845</v>
      </c>
      <c r="N34" s="11" t="str">
        <f>"000011"</f>
        <v>000011</v>
      </c>
      <c r="O34" s="10">
        <v>43018</v>
      </c>
      <c r="P34" s="11" t="str">
        <f>"000016"</f>
        <v>000016</v>
      </c>
      <c r="Q34" s="10">
        <v>43018</v>
      </c>
      <c r="R34" s="11">
        <v>17</v>
      </c>
      <c r="S34" s="11" t="str">
        <f>"006949"</f>
        <v>006949</v>
      </c>
      <c r="T34" s="10">
        <v>43399</v>
      </c>
      <c r="U34" s="14">
        <v>14.9857</v>
      </c>
      <c r="V34" s="14">
        <v>2.1918700000000002</v>
      </c>
      <c r="W34" s="14">
        <v>12.79383</v>
      </c>
      <c r="X34" s="11">
        <v>253</v>
      </c>
      <c r="Y34" s="10">
        <v>43403</v>
      </c>
      <c r="Z34" s="11">
        <v>9900214207</v>
      </c>
      <c r="AA34" s="12" t="s">
        <v>155</v>
      </c>
      <c r="AB34" s="11" t="s">
        <v>138</v>
      </c>
      <c r="AC34" s="12" t="s">
        <v>139</v>
      </c>
      <c r="AD34" s="11" t="s">
        <v>156</v>
      </c>
      <c r="AE34" s="12" t="s">
        <v>157</v>
      </c>
      <c r="AF34" s="14">
        <f t="shared" si="0"/>
        <v>0.14985699999999999</v>
      </c>
      <c r="AG34" s="11" t="s">
        <v>44</v>
      </c>
    </row>
    <row r="35" spans="1:33" x14ac:dyDescent="0.2">
      <c r="A35" s="8">
        <v>7015</v>
      </c>
      <c r="B35" s="9" t="s">
        <v>135</v>
      </c>
      <c r="C35" s="10">
        <v>43403</v>
      </c>
      <c r="D35" s="11">
        <v>123</v>
      </c>
      <c r="E35" s="12" t="s">
        <v>34</v>
      </c>
      <c r="F35" s="12" t="s">
        <v>34</v>
      </c>
      <c r="G35" s="12" t="s">
        <v>34</v>
      </c>
      <c r="H35" s="12" t="s">
        <v>35</v>
      </c>
      <c r="I35" s="11" t="s">
        <v>158</v>
      </c>
      <c r="J35" s="12" t="s">
        <v>159</v>
      </c>
      <c r="K35" s="13" t="s">
        <v>111</v>
      </c>
      <c r="L35" s="11" t="str">
        <f>"00046a"</f>
        <v>00046a</v>
      </c>
      <c r="M35" s="10">
        <v>42506</v>
      </c>
      <c r="N35" s="11" t="str">
        <f>"000216"</f>
        <v>000216</v>
      </c>
      <c r="O35" s="10">
        <v>42539</v>
      </c>
      <c r="P35" s="11" t="str">
        <f>"000418"</f>
        <v>000418</v>
      </c>
      <c r="Q35" s="10">
        <v>42726</v>
      </c>
      <c r="R35" s="11">
        <v>16</v>
      </c>
      <c r="S35" s="11" t="str">
        <f>"006918"</f>
        <v>006918</v>
      </c>
      <c r="T35" s="10">
        <v>43398</v>
      </c>
      <c r="U35" s="14">
        <v>20.420000000000002</v>
      </c>
      <c r="V35" s="14">
        <v>2.5931199999999999</v>
      </c>
      <c r="W35" s="14">
        <v>17.826879999999999</v>
      </c>
      <c r="X35" s="11">
        <v>254</v>
      </c>
      <c r="Y35" s="10">
        <v>43403</v>
      </c>
      <c r="Z35" s="11">
        <v>7411646287</v>
      </c>
      <c r="AA35" s="12" t="s">
        <v>160</v>
      </c>
      <c r="AB35" s="11" t="s">
        <v>161</v>
      </c>
      <c r="AC35" s="12" t="s">
        <v>162</v>
      </c>
      <c r="AD35" s="11" t="s">
        <v>49</v>
      </c>
      <c r="AE35" s="12" t="s">
        <v>50</v>
      </c>
      <c r="AF35" s="14">
        <f t="shared" si="0"/>
        <v>0.20420000000000002</v>
      </c>
      <c r="AG35" s="11" t="s">
        <v>44</v>
      </c>
    </row>
    <row r="36" spans="1:33" x14ac:dyDescent="0.2">
      <c r="A36" s="8">
        <v>7250</v>
      </c>
      <c r="B36" s="9" t="s">
        <v>163</v>
      </c>
      <c r="C36" s="10">
        <v>43420</v>
      </c>
      <c r="D36" s="11">
        <v>123</v>
      </c>
      <c r="E36" s="12" t="s">
        <v>34</v>
      </c>
      <c r="F36" s="12" t="s">
        <v>34</v>
      </c>
      <c r="G36" s="12" t="s">
        <v>34</v>
      </c>
      <c r="H36" s="12" t="s">
        <v>35</v>
      </c>
      <c r="I36" s="11" t="s">
        <v>164</v>
      </c>
      <c r="J36" s="12" t="s">
        <v>165</v>
      </c>
      <c r="K36" s="13" t="s">
        <v>38</v>
      </c>
      <c r="L36" s="11" t="str">
        <f>"00022a"</f>
        <v>00022a</v>
      </c>
      <c r="M36" s="10">
        <v>42117</v>
      </c>
      <c r="N36" s="11" t="str">
        <f>""</f>
        <v/>
      </c>
      <c r="O36" s="10"/>
      <c r="P36" s="11" t="str">
        <f>""</f>
        <v/>
      </c>
      <c r="Q36" s="10"/>
      <c r="R36" s="11">
        <v>15</v>
      </c>
      <c r="S36" s="11" t="str">
        <f>""</f>
        <v/>
      </c>
      <c r="T36" s="10"/>
      <c r="U36" s="14">
        <v>20.058</v>
      </c>
      <c r="V36" s="14">
        <v>3.1118000000000001</v>
      </c>
      <c r="W36" s="14">
        <v>16.946200000000001</v>
      </c>
      <c r="X36" s="11">
        <v>267</v>
      </c>
      <c r="Y36" s="10">
        <v>43420</v>
      </c>
      <c r="Z36" s="11">
        <v>9538481111</v>
      </c>
      <c r="AA36" s="12" t="s">
        <v>166</v>
      </c>
      <c r="AB36" s="11" t="s">
        <v>83</v>
      </c>
      <c r="AC36" s="12" t="s">
        <v>84</v>
      </c>
      <c r="AD36" s="11" t="s">
        <v>49</v>
      </c>
      <c r="AE36" s="12" t="s">
        <v>50</v>
      </c>
      <c r="AF36" s="14">
        <f t="shared" si="0"/>
        <v>0.20058000000000001</v>
      </c>
      <c r="AG36" s="11" t="s">
        <v>44</v>
      </c>
    </row>
    <row r="37" spans="1:33" x14ac:dyDescent="0.2">
      <c r="A37" s="8">
        <v>7251</v>
      </c>
      <c r="B37" s="9" t="s">
        <v>163</v>
      </c>
      <c r="C37" s="10">
        <v>43420</v>
      </c>
      <c r="D37" s="11">
        <v>123</v>
      </c>
      <c r="E37" s="12" t="s">
        <v>34</v>
      </c>
      <c r="F37" s="12" t="s">
        <v>34</v>
      </c>
      <c r="G37" s="12" t="s">
        <v>34</v>
      </c>
      <c r="H37" s="12" t="s">
        <v>35</v>
      </c>
      <c r="I37" s="11" t="s">
        <v>167</v>
      </c>
      <c r="J37" s="12" t="s">
        <v>168</v>
      </c>
      <c r="K37" s="13" t="s">
        <v>38</v>
      </c>
      <c r="L37" s="11" t="str">
        <f>"00012a"</f>
        <v>00012a</v>
      </c>
      <c r="M37" s="10">
        <v>42117</v>
      </c>
      <c r="N37" s="11" t="str">
        <f>""</f>
        <v/>
      </c>
      <c r="O37" s="10"/>
      <c r="P37" s="11" t="str">
        <f>""</f>
        <v/>
      </c>
      <c r="Q37" s="10"/>
      <c r="R37" s="11">
        <v>15</v>
      </c>
      <c r="S37" s="11" t="str">
        <f>""</f>
        <v/>
      </c>
      <c r="T37" s="10"/>
      <c r="U37" s="14">
        <v>19.873999999999999</v>
      </c>
      <c r="V37" s="14">
        <v>3.08365</v>
      </c>
      <c r="W37" s="14">
        <v>16.79035</v>
      </c>
      <c r="X37" s="11">
        <v>267</v>
      </c>
      <c r="Y37" s="10">
        <v>43420</v>
      </c>
      <c r="Z37" s="11">
        <v>9538481111</v>
      </c>
      <c r="AA37" s="12" t="s">
        <v>166</v>
      </c>
      <c r="AB37" s="11" t="s">
        <v>83</v>
      </c>
      <c r="AC37" s="12" t="s">
        <v>84</v>
      </c>
      <c r="AD37" s="11" t="s">
        <v>49</v>
      </c>
      <c r="AE37" s="12" t="s">
        <v>50</v>
      </c>
      <c r="AF37" s="14">
        <f t="shared" si="0"/>
        <v>0.19874</v>
      </c>
      <c r="AG37" s="11" t="s">
        <v>44</v>
      </c>
    </row>
    <row r="38" spans="1:33" x14ac:dyDescent="0.2">
      <c r="A38" s="8">
        <v>7341</v>
      </c>
      <c r="B38" s="9" t="s">
        <v>163</v>
      </c>
      <c r="C38" s="10">
        <v>43424</v>
      </c>
      <c r="D38" s="11">
        <v>123</v>
      </c>
      <c r="E38" s="12" t="s">
        <v>34</v>
      </c>
      <c r="F38" s="12" t="s">
        <v>34</v>
      </c>
      <c r="G38" s="12" t="s">
        <v>34</v>
      </c>
      <c r="H38" s="12" t="s">
        <v>35</v>
      </c>
      <c r="I38" s="11" t="s">
        <v>169</v>
      </c>
      <c r="J38" s="12" t="s">
        <v>170</v>
      </c>
      <c r="K38" s="13" t="s">
        <v>171</v>
      </c>
      <c r="L38" s="11" t="str">
        <f>"000030"</f>
        <v>000030</v>
      </c>
      <c r="M38" s="10">
        <v>43304</v>
      </c>
      <c r="N38" s="11" t="str">
        <f>""</f>
        <v/>
      </c>
      <c r="O38" s="10"/>
      <c r="P38" s="11" t="str">
        <f>""</f>
        <v/>
      </c>
      <c r="Q38" s="10"/>
      <c r="R38" s="11">
        <v>18</v>
      </c>
      <c r="S38" s="11" t="str">
        <f>""</f>
        <v/>
      </c>
      <c r="T38" s="10"/>
      <c r="U38" s="14">
        <v>24.626000000000001</v>
      </c>
      <c r="V38" s="14">
        <v>2.7340499999999999</v>
      </c>
      <c r="W38" s="14">
        <v>21.891950000000001</v>
      </c>
      <c r="X38" s="11">
        <v>271</v>
      </c>
      <c r="Y38" s="10">
        <v>43424</v>
      </c>
      <c r="Z38" s="11">
        <v>9632347753</v>
      </c>
      <c r="AA38" s="12" t="s">
        <v>172</v>
      </c>
      <c r="AB38" s="11" t="s">
        <v>105</v>
      </c>
      <c r="AC38" s="12" t="s">
        <v>106</v>
      </c>
      <c r="AD38" s="11" t="s">
        <v>49</v>
      </c>
      <c r="AE38" s="12" t="s">
        <v>50</v>
      </c>
      <c r="AF38" s="14">
        <f t="shared" si="0"/>
        <v>0.24626000000000001</v>
      </c>
      <c r="AG38" s="11" t="s">
        <v>51</v>
      </c>
    </row>
    <row r="39" spans="1:33" x14ac:dyDescent="0.2">
      <c r="A39" s="8">
        <v>8877</v>
      </c>
      <c r="B39" s="9" t="s">
        <v>173</v>
      </c>
      <c r="C39" s="10">
        <v>43497</v>
      </c>
      <c r="D39" s="11">
        <v>123</v>
      </c>
      <c r="E39" s="12" t="s">
        <v>34</v>
      </c>
      <c r="F39" s="12" t="s">
        <v>34</v>
      </c>
      <c r="G39" s="12" t="s">
        <v>34</v>
      </c>
      <c r="H39" s="12" t="s">
        <v>35</v>
      </c>
      <c r="I39" s="11" t="s">
        <v>174</v>
      </c>
      <c r="J39" s="12" t="s">
        <v>175</v>
      </c>
      <c r="K39" s="13" t="s">
        <v>111</v>
      </c>
      <c r="L39" s="11" t="str">
        <f>"000119"</f>
        <v>000119</v>
      </c>
      <c r="M39" s="10">
        <v>43136</v>
      </c>
      <c r="N39" s="11" t="str">
        <f>"000024"</f>
        <v>000024</v>
      </c>
      <c r="O39" s="10">
        <v>43215</v>
      </c>
      <c r="P39" s="11" t="str">
        <f>"000036"</f>
        <v>000036</v>
      </c>
      <c r="Q39" s="10">
        <v>43215</v>
      </c>
      <c r="R39" s="11"/>
      <c r="S39" s="11" t="str">
        <f>"008625"</f>
        <v>008625</v>
      </c>
      <c r="T39" s="10">
        <v>43472</v>
      </c>
      <c r="U39" s="14">
        <v>14.992000000000001</v>
      </c>
      <c r="V39" s="14">
        <v>1.6841999999999999</v>
      </c>
      <c r="W39" s="14">
        <v>13.3078</v>
      </c>
      <c r="X39" s="11">
        <v>336</v>
      </c>
      <c r="Y39" s="10">
        <v>43497</v>
      </c>
      <c r="Z39" s="11">
        <v>9845930585</v>
      </c>
      <c r="AA39" s="12" t="s">
        <v>48</v>
      </c>
      <c r="AB39" s="11" t="s">
        <v>161</v>
      </c>
      <c r="AC39" s="12" t="s">
        <v>162</v>
      </c>
      <c r="AD39" s="11" t="s">
        <v>49</v>
      </c>
      <c r="AE39" s="12" t="s">
        <v>50</v>
      </c>
      <c r="AF39" s="14">
        <f t="shared" si="0"/>
        <v>0.14992</v>
      </c>
      <c r="AG39" s="11" t="s">
        <v>51</v>
      </c>
    </row>
    <row r="40" spans="1:33" x14ac:dyDescent="0.2">
      <c r="A40" s="8">
        <v>9461</v>
      </c>
      <c r="B40" s="9" t="s">
        <v>176</v>
      </c>
      <c r="C40" s="10">
        <v>43529</v>
      </c>
      <c r="D40" s="11">
        <v>123</v>
      </c>
      <c r="E40" s="12" t="s">
        <v>34</v>
      </c>
      <c r="F40" s="12" t="s">
        <v>34</v>
      </c>
      <c r="G40" s="12" t="s">
        <v>34</v>
      </c>
      <c r="H40" s="12" t="s">
        <v>35</v>
      </c>
      <c r="I40" s="11" t="s">
        <v>177</v>
      </c>
      <c r="J40" s="12" t="s">
        <v>178</v>
      </c>
      <c r="K40" s="13" t="s">
        <v>97</v>
      </c>
      <c r="L40" s="11" t="str">
        <f>"000055"</f>
        <v>000055</v>
      </c>
      <c r="M40" s="10">
        <v>43374</v>
      </c>
      <c r="N40" s="11" t="str">
        <f>"000085"</f>
        <v>000085</v>
      </c>
      <c r="O40" s="10">
        <v>43503</v>
      </c>
      <c r="P40" s="11" t="str">
        <f>"000198"</f>
        <v>000198</v>
      </c>
      <c r="Q40" s="10">
        <v>43503</v>
      </c>
      <c r="R40" s="11"/>
      <c r="S40" s="11" t="str">
        <f>"009607"</f>
        <v>009607</v>
      </c>
      <c r="T40" s="10">
        <v>43529</v>
      </c>
      <c r="U40" s="14">
        <v>91.915000000000006</v>
      </c>
      <c r="V40" s="14">
        <v>4.9503899999999996</v>
      </c>
      <c r="W40" s="14">
        <v>86.964609999999993</v>
      </c>
      <c r="X40" s="11">
        <v>366</v>
      </c>
      <c r="Y40" s="10">
        <v>43529</v>
      </c>
      <c r="Z40" s="11">
        <v>9632899921</v>
      </c>
      <c r="AA40" s="12" t="s">
        <v>179</v>
      </c>
      <c r="AB40" s="11" t="s">
        <v>105</v>
      </c>
      <c r="AC40" s="12" t="s">
        <v>106</v>
      </c>
      <c r="AD40" s="11" t="s">
        <v>49</v>
      </c>
      <c r="AE40" s="12" t="s">
        <v>50</v>
      </c>
      <c r="AF40" s="14">
        <f t="shared" si="0"/>
        <v>0.91915000000000002</v>
      </c>
      <c r="AG40" s="11" t="s">
        <v>91</v>
      </c>
    </row>
    <row r="41" spans="1:33" x14ac:dyDescent="0.2">
      <c r="A41" s="8">
        <v>10118</v>
      </c>
      <c r="B41" s="9" t="s">
        <v>176</v>
      </c>
      <c r="C41" s="10">
        <v>43552</v>
      </c>
      <c r="D41" s="11">
        <v>123</v>
      </c>
      <c r="E41" s="12" t="s">
        <v>34</v>
      </c>
      <c r="F41" s="12" t="s">
        <v>34</v>
      </c>
      <c r="G41" s="12" t="s">
        <v>34</v>
      </c>
      <c r="H41" s="12" t="s">
        <v>35</v>
      </c>
      <c r="I41" s="11" t="s">
        <v>180</v>
      </c>
      <c r="J41" s="12" t="s">
        <v>181</v>
      </c>
      <c r="K41" s="13" t="s">
        <v>81</v>
      </c>
      <c r="L41" s="11" t="str">
        <f>"000077"</f>
        <v>000077</v>
      </c>
      <c r="M41" s="10">
        <v>43127</v>
      </c>
      <c r="N41" s="11" t="str">
        <f>"000032"</f>
        <v>000032</v>
      </c>
      <c r="O41" s="10">
        <v>43127</v>
      </c>
      <c r="P41" s="11" t="str">
        <f>"000041"</f>
        <v>000041</v>
      </c>
      <c r="Q41" s="10">
        <v>43130</v>
      </c>
      <c r="R41" s="11"/>
      <c r="S41" s="11" t="str">
        <f>"010153"</f>
        <v>010153</v>
      </c>
      <c r="T41" s="10">
        <v>43552</v>
      </c>
      <c r="U41" s="14">
        <v>19.955819999999999</v>
      </c>
      <c r="V41" s="14">
        <v>1.8024500000000001</v>
      </c>
      <c r="W41" s="14">
        <v>18.153369999999999</v>
      </c>
      <c r="X41" s="11">
        <v>392</v>
      </c>
      <c r="Y41" s="10">
        <v>43552</v>
      </c>
      <c r="Z41" s="11">
        <v>9900214207</v>
      </c>
      <c r="AA41" s="12" t="s">
        <v>155</v>
      </c>
      <c r="AB41" s="11" t="s">
        <v>182</v>
      </c>
      <c r="AC41" s="12" t="s">
        <v>183</v>
      </c>
      <c r="AD41" s="11" t="s">
        <v>156</v>
      </c>
      <c r="AE41" s="12" t="s">
        <v>157</v>
      </c>
      <c r="AF41" s="14">
        <f t="shared" si="0"/>
        <v>0.19955819999999999</v>
      </c>
      <c r="AG41" s="11" t="s">
        <v>44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2019-06-13T08:03:26Z</dcterms:modified>
</cp:coreProperties>
</file>