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6" i="1" l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<sst xmlns="http://schemas.openxmlformats.org/spreadsheetml/2006/main" count="663" uniqueCount="198">
  <si>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</si>
  <si>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</si>
  <si>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</si>
  <si>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</si>
  <si>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</si>
  <si>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</si>
  <si>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</si>
  <si>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</si>
  <si>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</si>
  <si>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</si>
  <si>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</si>
  <si>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</si>
  <si>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</si>
  <si>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</si>
  <si>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</si>
  <si>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</si>
  <si>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</si>
  <si>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</si>
  <si>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</si>
  <si>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</si>
  <si>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</si>
  <si>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</si>
  <si>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</si>
  <si>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</si>
  <si>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</si>
  <si>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</si>
  <si>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</si>
  <si>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</si>
  <si>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</si>
  <si>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</si>
  <si>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</si>
  <si>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</si>
  <si>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</si>
  <si>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</si>
  <si>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Nagarabhavi</t>
  </si>
  <si>
    <t>Chandra Layout</t>
  </si>
  <si>
    <t>Govindaraja Nagara</t>
  </si>
  <si>
    <t>West</t>
  </si>
  <si>
    <t>128-16-000016</t>
  </si>
  <si>
    <t>Comprehensive Development of roads and drains in ward No 128</t>
  </si>
  <si>
    <t>Roads &amp; Drivablility</t>
  </si>
  <si>
    <t>Civiltech Consultants and Engineer</t>
  </si>
  <si>
    <t>P3106</t>
  </si>
  <si>
    <t>Nagarothana Works</t>
  </si>
  <si>
    <t>ddo488</t>
  </si>
  <si>
    <t xml:space="preserve"> Assistant Executive Engineer Chandra Layout West Zone</t>
  </si>
  <si>
    <t>Pending</t>
  </si>
  <si>
    <t>May</t>
  </si>
  <si>
    <t>128-15-000011</t>
  </si>
  <si>
    <t>Providing security cleanning and maintenance services to multipurpose building at 14th cross Jothinagar in ward no 128 Nagarabhavi</t>
  </si>
  <si>
    <t>Other Ward Works</t>
  </si>
  <si>
    <t>S P Enterprises Prop R Chandrashekar</t>
  </si>
  <si>
    <t>P2015</t>
  </si>
  <si>
    <t>Security and House Keeping and Other Maintenance Works</t>
  </si>
  <si>
    <t>128-15-000002</t>
  </si>
  <si>
    <t>Providing Watchman for the Garden 4 men shift X 3 Shifts per Day X 12 months</t>
  </si>
  <si>
    <t>SP Enterprises Prop R Chandra Shekar</t>
  </si>
  <si>
    <t>P0099</t>
  </si>
  <si>
    <t>Security and Service charges</t>
  </si>
  <si>
    <t>128-11-000011</t>
  </si>
  <si>
    <t>Construction of CDs in Chandra layout and surrounding area under Emergency work in W No 128</t>
  </si>
  <si>
    <t>V N Harish</t>
  </si>
  <si>
    <t>P1881</t>
  </si>
  <si>
    <t>Electrical Works</t>
  </si>
  <si>
    <t>June</t>
  </si>
  <si>
    <t>128-15-000001</t>
  </si>
  <si>
    <t>Providing structural Glazing Compound wall walking truck, Electrical fittings, Generator and other works for the Multipurpose Building at Jyothinagar 14th cross in ward no 128</t>
  </si>
  <si>
    <t xml:space="preserve">The Technical Manager </t>
  </si>
  <si>
    <t>P2179</t>
  </si>
  <si>
    <t>Construction of Multi purpose building at Nagarabhavi (est. cost 300 Lakhs)</t>
  </si>
  <si>
    <t>ddo209</t>
  </si>
  <si>
    <t xml:space="preserve"> Assistant Executive Engineer Electrical West Zone</t>
  </si>
  <si>
    <t>July</t>
  </si>
  <si>
    <t>128-17-000006</t>
  </si>
  <si>
    <t>Developments to Park at New Income Tax layout in ward no 128</t>
  </si>
  <si>
    <t>Trees, Parks &amp; Playgrounds</t>
  </si>
  <si>
    <t>Executive Engineer-2, KRIDL</t>
  </si>
  <si>
    <t>P0190</t>
  </si>
  <si>
    <t>Works sanctioned by Hon Mayor</t>
  </si>
  <si>
    <t>ddo326</t>
  </si>
  <si>
    <t xml:space="preserve"> Executive Engineer SWM 1 Central Zone</t>
  </si>
  <si>
    <t>128-17-000065</t>
  </si>
  <si>
    <t>Engagement of Gangman and Hiring of Tractor Tippers for cleaning and Maintenance of road side drains and other cleaning works in works in ward no 128</t>
  </si>
  <si>
    <t>Footpaths &amp; Walkability</t>
  </si>
  <si>
    <t>D Vinay</t>
  </si>
  <si>
    <t>P3110</t>
  </si>
  <si>
    <t>14th Finance Commission Grant Works</t>
  </si>
  <si>
    <t>Spill Over</t>
  </si>
  <si>
    <t>128-16-000021</t>
  </si>
  <si>
    <t>Development and Improvements to Roads and drain in ward. No.128 Nagarabhavi area surroundings</t>
  </si>
  <si>
    <t>Technical Manager West KRIDL</t>
  </si>
  <si>
    <t>128-17-000002</t>
  </si>
  <si>
    <t>Providing Cement Concrete to Roads at Arundathinagara and Hoysalanagara in ward no 128</t>
  </si>
  <si>
    <t>P2415</t>
  </si>
  <si>
    <t>Reserve fund for TandF Committee</t>
  </si>
  <si>
    <t>128-17-000003</t>
  </si>
  <si>
    <t>Improvements to drains at Chandra layout 1st stage behind Siddaganga school and surrounding areas in ward no 128</t>
  </si>
  <si>
    <t>Technical Manger West KRIDL</t>
  </si>
  <si>
    <t>128-16-000006</t>
  </si>
  <si>
    <t xml:space="preserve">Improvements of drain at Manasanagara, Coconut garden, Teachers layout, New Income tax layout and Chandralayout 1st stage 1st phase in Ward No.128 Nagarabhavi (Emergency) </t>
  </si>
  <si>
    <t>J Anand</t>
  </si>
  <si>
    <t>P1771</t>
  </si>
  <si>
    <t>Zone Works - POW Works</t>
  </si>
  <si>
    <t>128-18-000021</t>
  </si>
  <si>
    <t>Improvements to roads and other developmrntal works near Muttu Mariyamma temple Arundathi nagar in ward no-128</t>
  </si>
  <si>
    <t>P1878</t>
  </si>
  <si>
    <t>18per - Works (Bhagyajyothi, Sooru / Neeru Yojane and General) (54 Lakhs / New Wards)</t>
  </si>
  <si>
    <t>128-17-000072</t>
  </si>
  <si>
    <t xml:space="preserve">Drilling of Borewells in ward no 128 Juridiction </t>
  </si>
  <si>
    <t>Water &amp; Sanitary</t>
  </si>
  <si>
    <t xml:space="preserve">Technical Manager West KRIDL </t>
  </si>
  <si>
    <t>128-17-000027</t>
  </si>
  <si>
    <t>Construction of Prayer Hall at Arundhatinagara in ward No. 128</t>
  </si>
  <si>
    <t>Technical manager West KRIDL</t>
  </si>
  <si>
    <t>128-16-000001</t>
  </si>
  <si>
    <t>Annual Operation And maintenance Of Street Lights at Nagarabhavi in Ward No- 128</t>
  </si>
  <si>
    <t>Sree Mamatha Electrical Enterprises</t>
  </si>
  <si>
    <t>P0300</t>
  </si>
  <si>
    <t>M and R to Street Lights - Replacement of Burnt Bulbs etc. (Package)</t>
  </si>
  <si>
    <t>128-17-000007</t>
  </si>
  <si>
    <t>Developments to Park at Vidyagiri layout in ward no 128</t>
  </si>
  <si>
    <t>The Executive Engineer 2</t>
  </si>
  <si>
    <t>August</t>
  </si>
  <si>
    <t>128-17-000024</t>
  </si>
  <si>
    <t>Drilling and maintenance of borwells in ward no-128 Nagarbhavi ward juridiction</t>
  </si>
  <si>
    <t>Technical Manager West KRIDL West</t>
  </si>
  <si>
    <t>P1802</t>
  </si>
  <si>
    <t>Water Supply New Areas</t>
  </si>
  <si>
    <t>128-17-000025</t>
  </si>
  <si>
    <t>Improvements to Park and Construction of Steps at Income Tax Layout and Vidyagiri Layout in ward No. 128</t>
  </si>
  <si>
    <t>128-17-000026</t>
  </si>
  <si>
    <t>Improvements to Park at Coconut Garden in ward No. 128</t>
  </si>
  <si>
    <t>128-17-000022</t>
  </si>
  <si>
    <t xml:space="preserve">Providing and fixing of LED Street lights in Ward No 128 in Govindarajnagar Division </t>
  </si>
  <si>
    <t>Executive Engineer KRIDL</t>
  </si>
  <si>
    <t>Current</t>
  </si>
  <si>
    <t>September</t>
  </si>
  <si>
    <t>128-13-000024</t>
  </si>
  <si>
    <t>Construction of 1st floor for community hall at arundathinagar near govt school in W-128</t>
  </si>
  <si>
    <t>A Raghu</t>
  </si>
  <si>
    <t>128-17-000049</t>
  </si>
  <si>
    <t>Providing MS Ornamental grills and other development works for Vidyagiri layout Harihara Park Nagarabhavi in ward no 128</t>
  </si>
  <si>
    <t>Executive Engineer, KRIDL</t>
  </si>
  <si>
    <t>128-17-000070</t>
  </si>
  <si>
    <t>Providing Ornamental Grill to Park at 11th cross Chandra Layout in ward no 128</t>
  </si>
  <si>
    <t>128-17-000069</t>
  </si>
  <si>
    <t>Improvements to Park at Arundathinagara in ward no 128</t>
  </si>
  <si>
    <t>128-17-000071</t>
  </si>
  <si>
    <t>Providing Gym Equipments and other development works to Chandra Layout in ward no 128</t>
  </si>
  <si>
    <t>128-17-000032</t>
  </si>
  <si>
    <t>Providing Water Supply Line and Replacement of Sanitary Pipelines at Chandra Layout in ward No. 128</t>
  </si>
  <si>
    <t>October</t>
  </si>
  <si>
    <t>128-18-000043</t>
  </si>
  <si>
    <t xml:space="preserve">Providing asphalting to cross roads from Chandra Layout 1st stage 1st Phase in Ward No 128 </t>
  </si>
  <si>
    <t>P3158</t>
  </si>
  <si>
    <t>SIP Infrastructure Project works</t>
  </si>
  <si>
    <t>128-17-000063</t>
  </si>
  <si>
    <t>Providing MS Safety grill and other developmental works at Income Tax layout and Vidyagiri layout parks under (below High Tension line) in ward no 128</t>
  </si>
  <si>
    <t>P2178</t>
  </si>
  <si>
    <t>Works sanctioned by Dy. Mayor</t>
  </si>
  <si>
    <t>128-17-000068</t>
  </si>
  <si>
    <t>Development of Electrical works at Income tax Layout and Vidyagiri Layout parks under (below High Tension lIne) in ward no 128</t>
  </si>
  <si>
    <t>Executive Engineer 2 KRIDL</t>
  </si>
  <si>
    <t>128-18-000016</t>
  </si>
  <si>
    <t>Consultancy services for supervision Project Management and Quality Control for the work of Construction of RC C retaining wall LHS of primary valley V-202 and Ch:9800 to 10000.00m Nagarabhavi ward no.128.</t>
  </si>
  <si>
    <t>Storm Water Drains</t>
  </si>
  <si>
    <t>M/s KVK Constructions K Prakash Babu</t>
  </si>
  <si>
    <t>ddo313</t>
  </si>
  <si>
    <t xml:space="preserve"> Chief Engineer SWD Central Zone</t>
  </si>
  <si>
    <t>January</t>
  </si>
  <si>
    <t>Qubik Technologies</t>
  </si>
  <si>
    <t>128-15-000047</t>
  </si>
  <si>
    <t>Providing and instalation of additional play equipments plastic mould at chandragiri park in ward no 128 Nagarabhavi</t>
  </si>
  <si>
    <t>128-19-000002</t>
  </si>
  <si>
    <t>Providing LED Street Lights at Jyothinagara in ward No 128</t>
  </si>
  <si>
    <t>P3111</t>
  </si>
  <si>
    <t>State Finance Commission Untied Grant Works</t>
  </si>
  <si>
    <t>128-19-000001</t>
  </si>
  <si>
    <t>Providing LED Street Lights at Vidyagiri Layout in ward No 128</t>
  </si>
  <si>
    <t>128-19-000007</t>
  </si>
  <si>
    <t>Providing LED street Lights at Chandralayout from 6th Cross to 10th Cross in ward No 128</t>
  </si>
  <si>
    <t>128-19-000008</t>
  </si>
  <si>
    <t>Providing LED street Lights at Chandralayout from 11th Cross to 14th Cross in ward No 128</t>
  </si>
  <si>
    <t>February</t>
  </si>
  <si>
    <t>128-18-000042</t>
  </si>
  <si>
    <t xml:space="preserve">Providing illumination to indira Canteen at Chandra layout surrounding in ward no -128 </t>
  </si>
  <si>
    <t>Indira Canteen</t>
  </si>
  <si>
    <t>Executive Engineer-2 KRIDL</t>
  </si>
  <si>
    <t>128-19-000009</t>
  </si>
  <si>
    <t>Providing LED street Lights at Arundathinagara slum Chamundeshwari Temple Road in ward No 128</t>
  </si>
  <si>
    <t>P3409</t>
  </si>
  <si>
    <t>SFC Untied SC-SP/TSP Grant works</t>
  </si>
  <si>
    <t>March</t>
  </si>
  <si>
    <t>128-19-000010</t>
  </si>
  <si>
    <t>Providing L E D Street lights fittings to Nagarabhavi and its surrounding area in ward no 128</t>
  </si>
  <si>
    <t>128-17-000074</t>
  </si>
  <si>
    <t>Providing lights to Park at 11th cross Chandra layout in ward no 128</t>
  </si>
  <si>
    <t>Executive Engineer-2  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</si>
</sst>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pane ySplit="1" topLeftCell="A2" activePane="bottomLeft" state="frozen"/>
      <selection activeCell="H1" sqref="H1"/>
      <selection pane="bottomLeft" activeCell="A2" sqref="A2:XFD4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109</v>
      </c>
      <c r="B2" s="9" t="s">
        <v>33</v>
      </c>
      <c r="C2" s="10">
        <v>43194</v>
      </c>
      <c r="D2" s="11">
        <v>128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"00094g"</f>
        <v>00094g</v>
      </c>
      <c r="M2" s="10">
        <v>42734</v>
      </c>
      <c r="N2" s="11" t="str">
        <f>"000035"</f>
        <v>000035</v>
      </c>
      <c r="O2" s="10">
        <v>42996</v>
      </c>
      <c r="P2" s="11" t="str">
        <f>"000073"</f>
        <v>000073</v>
      </c>
      <c r="Q2" s="10">
        <v>42996</v>
      </c>
      <c r="R2" s="11">
        <v>16</v>
      </c>
      <c r="S2" s="11" t="str">
        <f>"008212"</f>
        <v>008212</v>
      </c>
      <c r="T2" s="10">
        <v>43068</v>
      </c>
      <c r="U2" s="14">
        <v>0.442</v>
      </c>
      <c r="V2" s="14">
        <v>1.7899999999999999E-2</v>
      </c>
      <c r="W2" s="14">
        <v>0.42409999999999998</v>
      </c>
      <c r="X2" s="11">
        <v>1</v>
      </c>
      <c r="Y2" s="10">
        <v>43194</v>
      </c>
      <c r="Z2" s="11">
        <v>9342839190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4.4200000000000003E-3</v>
      </c>
      <c r="AG2" s="11" t="s">
        <v>46</v>
      </c>
    </row>
    <row r="3" spans="1:33" x14ac:dyDescent="0.2">
      <c r="A3" s="8">
        <v>1133</v>
      </c>
      <c r="B3" s="9" t="s">
        <v>47</v>
      </c>
      <c r="C3" s="10">
        <v>43230</v>
      </c>
      <c r="D3" s="11">
        <v>128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"000194"</f>
        <v>000194</v>
      </c>
      <c r="M3" s="10">
        <v>42021</v>
      </c>
      <c r="N3" s="11" t="str">
        <f>"000405"</f>
        <v>000405</v>
      </c>
      <c r="O3" s="10">
        <v>42766</v>
      </c>
      <c r="P3" s="11" t="str">
        <f>"000746"</f>
        <v>000746</v>
      </c>
      <c r="Q3" s="10">
        <v>42766</v>
      </c>
      <c r="R3" s="11">
        <v>15</v>
      </c>
      <c r="S3" s="11" t="str">
        <f>"001335"</f>
        <v>001335</v>
      </c>
      <c r="T3" s="10">
        <v>43229</v>
      </c>
      <c r="U3" s="14">
        <v>12.9999</v>
      </c>
      <c r="V3" s="14">
        <v>1.5736000000000001</v>
      </c>
      <c r="W3" s="14">
        <v>11.426299999999999</v>
      </c>
      <c r="X3" s="11">
        <v>48</v>
      </c>
      <c r="Y3" s="10">
        <v>43230</v>
      </c>
      <c r="Z3" s="11">
        <v>8496023544</v>
      </c>
      <c r="AA3" s="12" t="s">
        <v>51</v>
      </c>
      <c r="AB3" s="11" t="s">
        <v>52</v>
      </c>
      <c r="AC3" s="12" t="s">
        <v>53</v>
      </c>
      <c r="AD3" s="11" t="s">
        <v>44</v>
      </c>
      <c r="AE3" s="12" t="s">
        <v>45</v>
      </c>
      <c r="AF3" s="14">
        <v>0.129999</v>
      </c>
      <c r="AG3" s="11" t="s">
        <v>46</v>
      </c>
    </row>
    <row r="4" spans="1:33" x14ac:dyDescent="0.2">
      <c r="A4" s="8">
        <v>1134</v>
      </c>
      <c r="B4" s="9" t="s">
        <v>47</v>
      </c>
      <c r="C4" s="10">
        <v>43230</v>
      </c>
      <c r="D4" s="11">
        <v>128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50</v>
      </c>
      <c r="L4" s="11" t="str">
        <f>"000193"</f>
        <v>000193</v>
      </c>
      <c r="M4" s="10">
        <v>42021</v>
      </c>
      <c r="N4" s="11" t="str">
        <f>"000404"</f>
        <v>000404</v>
      </c>
      <c r="O4" s="10">
        <v>42766</v>
      </c>
      <c r="P4" s="11" t="str">
        <f>"000747"</f>
        <v>000747</v>
      </c>
      <c r="Q4" s="10">
        <v>42766</v>
      </c>
      <c r="R4" s="11">
        <v>15</v>
      </c>
      <c r="S4" s="11" t="str">
        <f>"001336"</f>
        <v>001336</v>
      </c>
      <c r="T4" s="10">
        <v>43229</v>
      </c>
      <c r="U4" s="14">
        <v>8.8180999999999994</v>
      </c>
      <c r="V4" s="14">
        <v>1.0237000000000001</v>
      </c>
      <c r="W4" s="14">
        <v>7.7944000000000004</v>
      </c>
      <c r="X4" s="11">
        <v>48</v>
      </c>
      <c r="Y4" s="10">
        <v>43230</v>
      </c>
      <c r="Z4" s="11">
        <v>8496023544</v>
      </c>
      <c r="AA4" s="12" t="s">
        <v>56</v>
      </c>
      <c r="AB4" s="11" t="s">
        <v>57</v>
      </c>
      <c r="AC4" s="12" t="s">
        <v>58</v>
      </c>
      <c r="AD4" s="11" t="s">
        <v>44</v>
      </c>
      <c r="AE4" s="12" t="s">
        <v>45</v>
      </c>
      <c r="AF4" s="14">
        <v>8.8180999999999995E-2</v>
      </c>
      <c r="AG4" s="11" t="s">
        <v>46</v>
      </c>
    </row>
    <row r="5" spans="1:33" x14ac:dyDescent="0.2">
      <c r="A5" s="8">
        <v>1558</v>
      </c>
      <c r="B5" s="9" t="s">
        <v>47</v>
      </c>
      <c r="C5" s="10">
        <v>43251</v>
      </c>
      <c r="D5" s="11">
        <v>128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50</v>
      </c>
      <c r="L5" s="11" t="str">
        <f>"000052"</f>
        <v>000052</v>
      </c>
      <c r="M5" s="10">
        <v>41113</v>
      </c>
      <c r="N5" s="11" t="str">
        <f>"000232"</f>
        <v>000232</v>
      </c>
      <c r="O5" s="10">
        <v>41364</v>
      </c>
      <c r="P5" s="11" t="str">
        <f>"000331"</f>
        <v>000331</v>
      </c>
      <c r="Q5" s="10">
        <v>41486</v>
      </c>
      <c r="R5" s="11">
        <v>11</v>
      </c>
      <c r="S5" s="11" t="str">
        <f>"005696"</f>
        <v>005696</v>
      </c>
      <c r="T5" s="10">
        <v>42413</v>
      </c>
      <c r="U5" s="14">
        <v>2.0303</v>
      </c>
      <c r="V5" s="14">
        <v>0.24596000000000001</v>
      </c>
      <c r="W5" s="14">
        <v>1.78434</v>
      </c>
      <c r="X5" s="11">
        <v>67</v>
      </c>
      <c r="Y5" s="10">
        <v>43251</v>
      </c>
      <c r="Z5" s="11">
        <v>9986870032</v>
      </c>
      <c r="AA5" s="12" t="s">
        <v>61</v>
      </c>
      <c r="AB5" s="11" t="s">
        <v>62</v>
      </c>
      <c r="AC5" s="12" t="s">
        <v>63</v>
      </c>
      <c r="AD5" s="11" t="s">
        <v>44</v>
      </c>
      <c r="AE5" s="12" t="s">
        <v>45</v>
      </c>
      <c r="AF5" s="14">
        <v>2.0303000000000002E-2</v>
      </c>
      <c r="AG5" s="11" t="s">
        <v>46</v>
      </c>
    </row>
    <row r="6" spans="1:33" x14ac:dyDescent="0.2">
      <c r="A6" s="8">
        <v>2044</v>
      </c>
      <c r="B6" s="9" t="s">
        <v>64</v>
      </c>
      <c r="C6" s="10">
        <v>43262</v>
      </c>
      <c r="D6" s="11">
        <v>128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65</v>
      </c>
      <c r="J6" s="12" t="s">
        <v>66</v>
      </c>
      <c r="K6" s="13" t="s">
        <v>50</v>
      </c>
      <c r="L6" s="11" t="str">
        <f>"000008"</f>
        <v>000008</v>
      </c>
      <c r="M6" s="10">
        <v>41871</v>
      </c>
      <c r="N6" s="11" t="str">
        <f>"000007"</f>
        <v>000007</v>
      </c>
      <c r="O6" s="10">
        <v>41972</v>
      </c>
      <c r="P6" s="11" t="str">
        <f>"000455"</f>
        <v>000455</v>
      </c>
      <c r="Q6" s="10">
        <v>41988</v>
      </c>
      <c r="R6" s="11">
        <v>15</v>
      </c>
      <c r="S6" s="11" t="str">
        <f>"001933"</f>
        <v>001933</v>
      </c>
      <c r="T6" s="10">
        <v>42222</v>
      </c>
      <c r="U6" s="14">
        <v>7.9998699999999996</v>
      </c>
      <c r="V6" s="14">
        <v>1.28745</v>
      </c>
      <c r="W6" s="14">
        <v>6.7124199999999998</v>
      </c>
      <c r="X6" s="11">
        <v>79</v>
      </c>
      <c r="Y6" s="10">
        <v>43262</v>
      </c>
      <c r="Z6" s="11">
        <v>9900666333</v>
      </c>
      <c r="AA6" s="12" t="s">
        <v>67</v>
      </c>
      <c r="AB6" s="11" t="s">
        <v>68</v>
      </c>
      <c r="AC6" s="12" t="s">
        <v>69</v>
      </c>
      <c r="AD6" s="11" t="s">
        <v>70</v>
      </c>
      <c r="AE6" s="12" t="s">
        <v>71</v>
      </c>
      <c r="AF6" s="14">
        <v>7.9998699999999992E-2</v>
      </c>
      <c r="AG6" s="11" t="s">
        <v>46</v>
      </c>
    </row>
    <row r="7" spans="1:33" x14ac:dyDescent="0.2">
      <c r="A7" s="8">
        <v>2893</v>
      </c>
      <c r="B7" s="9" t="s">
        <v>72</v>
      </c>
      <c r="C7" s="10">
        <v>43283</v>
      </c>
      <c r="D7" s="11">
        <v>128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73</v>
      </c>
      <c r="J7" s="12" t="s">
        <v>74</v>
      </c>
      <c r="K7" s="13" t="s">
        <v>75</v>
      </c>
      <c r="L7" s="11" t="str">
        <f>"000072"</f>
        <v>000072</v>
      </c>
      <c r="M7" s="10">
        <v>42723</v>
      </c>
      <c r="N7" s="11" t="str">
        <f>"000170"</f>
        <v>000170</v>
      </c>
      <c r="O7" s="10">
        <v>42824</v>
      </c>
      <c r="P7" s="11" t="str">
        <f>"000016"</f>
        <v>000016</v>
      </c>
      <c r="Q7" s="10">
        <v>42852</v>
      </c>
      <c r="R7" s="11">
        <v>17</v>
      </c>
      <c r="S7" s="11" t="str">
        <f>"002956"</f>
        <v>002956</v>
      </c>
      <c r="T7" s="10">
        <v>43276</v>
      </c>
      <c r="U7" s="14">
        <v>24.344010000000001</v>
      </c>
      <c r="V7" s="14">
        <v>2.96862</v>
      </c>
      <c r="W7" s="14">
        <v>21.375389999999999</v>
      </c>
      <c r="X7" s="11">
        <v>108</v>
      </c>
      <c r="Y7" s="10">
        <v>43283</v>
      </c>
      <c r="Z7" s="11">
        <v>8496023544</v>
      </c>
      <c r="AA7" s="12" t="s">
        <v>76</v>
      </c>
      <c r="AB7" s="11" t="s">
        <v>77</v>
      </c>
      <c r="AC7" s="12" t="s">
        <v>78</v>
      </c>
      <c r="AD7" s="11" t="s">
        <v>79</v>
      </c>
      <c r="AE7" s="12" t="s">
        <v>80</v>
      </c>
      <c r="AF7" s="14">
        <v>0.24344010000000002</v>
      </c>
      <c r="AG7" s="11" t="s">
        <v>46</v>
      </c>
    </row>
    <row r="8" spans="1:33" x14ac:dyDescent="0.2">
      <c r="A8" s="8">
        <v>3248</v>
      </c>
      <c r="B8" s="9" t="s">
        <v>72</v>
      </c>
      <c r="C8" s="10">
        <v>43293</v>
      </c>
      <c r="D8" s="11">
        <v>128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81</v>
      </c>
      <c r="J8" s="12" t="s">
        <v>82</v>
      </c>
      <c r="K8" s="13" t="s">
        <v>83</v>
      </c>
      <c r="L8" s="11" t="str">
        <f>"000059"</f>
        <v>000059</v>
      </c>
      <c r="M8" s="10">
        <v>43031</v>
      </c>
      <c r="N8" s="11" t="str">
        <f>"000034"</f>
        <v>000034</v>
      </c>
      <c r="O8" s="10">
        <v>43269</v>
      </c>
      <c r="P8" s="11" t="str">
        <f>"000095"</f>
        <v>000095</v>
      </c>
      <c r="Q8" s="10">
        <v>43269</v>
      </c>
      <c r="R8" s="11">
        <v>17</v>
      </c>
      <c r="S8" s="11" t="str">
        <f>"003585"</f>
        <v>003585</v>
      </c>
      <c r="T8" s="10">
        <v>43292</v>
      </c>
      <c r="U8" s="14">
        <v>11.8515</v>
      </c>
      <c r="V8" s="14">
        <v>0.24970000000000001</v>
      </c>
      <c r="W8" s="14">
        <v>11.601800000000001</v>
      </c>
      <c r="X8" s="11">
        <v>123</v>
      </c>
      <c r="Y8" s="10">
        <v>43293</v>
      </c>
      <c r="Z8" s="11">
        <v>9886027213</v>
      </c>
      <c r="AA8" s="12" t="s">
        <v>84</v>
      </c>
      <c r="AB8" s="11" t="s">
        <v>85</v>
      </c>
      <c r="AC8" s="12" t="s">
        <v>86</v>
      </c>
      <c r="AD8" s="11" t="s">
        <v>44</v>
      </c>
      <c r="AE8" s="12" t="s">
        <v>45</v>
      </c>
      <c r="AF8" s="14">
        <v>0.118515</v>
      </c>
      <c r="AG8" s="11" t="s">
        <v>87</v>
      </c>
    </row>
    <row r="9" spans="1:33" x14ac:dyDescent="0.2">
      <c r="A9" s="8">
        <v>3319</v>
      </c>
      <c r="B9" s="9" t="s">
        <v>72</v>
      </c>
      <c r="C9" s="10">
        <v>43297</v>
      </c>
      <c r="D9" s="11">
        <v>128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88</v>
      </c>
      <c r="J9" s="12" t="s">
        <v>89</v>
      </c>
      <c r="K9" s="13" t="s">
        <v>40</v>
      </c>
      <c r="L9" s="11" t="str">
        <f>"000055"</f>
        <v>000055</v>
      </c>
      <c r="M9" s="10">
        <v>42639</v>
      </c>
      <c r="N9" s="11" t="str">
        <f>"000399"</f>
        <v>000399</v>
      </c>
      <c r="O9" s="10">
        <v>42735</v>
      </c>
      <c r="P9" s="11" t="str">
        <f>"000673"</f>
        <v>000673</v>
      </c>
      <c r="Q9" s="10">
        <v>42735</v>
      </c>
      <c r="R9" s="11">
        <v>16</v>
      </c>
      <c r="S9" s="11" t="str">
        <f>"003542"</f>
        <v>003542</v>
      </c>
      <c r="T9" s="10">
        <v>43291</v>
      </c>
      <c r="U9" s="14">
        <v>48.943060000000003</v>
      </c>
      <c r="V9" s="14">
        <v>6.9031900000000004</v>
      </c>
      <c r="W9" s="14">
        <v>42.039870000000001</v>
      </c>
      <c r="X9" s="11">
        <v>125</v>
      </c>
      <c r="Y9" s="10">
        <v>43297</v>
      </c>
      <c r="Z9" s="11">
        <v>9900000000</v>
      </c>
      <c r="AA9" s="12" t="s">
        <v>90</v>
      </c>
      <c r="AB9" s="11" t="s">
        <v>77</v>
      </c>
      <c r="AC9" s="12" t="s">
        <v>78</v>
      </c>
      <c r="AD9" s="11" t="s">
        <v>44</v>
      </c>
      <c r="AE9" s="12" t="s">
        <v>45</v>
      </c>
      <c r="AF9" s="14">
        <v>0.48943060000000005</v>
      </c>
      <c r="AG9" s="11" t="s">
        <v>46</v>
      </c>
    </row>
    <row r="10" spans="1:33" x14ac:dyDescent="0.2">
      <c r="A10" s="8">
        <v>3320</v>
      </c>
      <c r="B10" s="9" t="s">
        <v>72</v>
      </c>
      <c r="C10" s="10">
        <v>43297</v>
      </c>
      <c r="D10" s="11">
        <v>128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91</v>
      </c>
      <c r="J10" s="12" t="s">
        <v>92</v>
      </c>
      <c r="K10" s="13" t="s">
        <v>40</v>
      </c>
      <c r="L10" s="11" t="str">
        <f>"000059"</f>
        <v>000059</v>
      </c>
      <c r="M10" s="10">
        <v>42670</v>
      </c>
      <c r="N10" s="11" t="str">
        <f>"000397"</f>
        <v>000397</v>
      </c>
      <c r="O10" s="10">
        <v>42735</v>
      </c>
      <c r="P10" s="11" t="str">
        <f>"000674"</f>
        <v>000674</v>
      </c>
      <c r="Q10" s="10">
        <v>42735</v>
      </c>
      <c r="R10" s="11">
        <v>17</v>
      </c>
      <c r="S10" s="11" t="str">
        <f>"003543"</f>
        <v>003543</v>
      </c>
      <c r="T10" s="10">
        <v>43291</v>
      </c>
      <c r="U10" s="14">
        <v>49.997259999999997</v>
      </c>
      <c r="V10" s="14">
        <v>7.0502099999999999</v>
      </c>
      <c r="W10" s="14">
        <v>42.947049999999997</v>
      </c>
      <c r="X10" s="11">
        <v>125</v>
      </c>
      <c r="Y10" s="10">
        <v>43297</v>
      </c>
      <c r="Z10" s="11">
        <v>9900000000</v>
      </c>
      <c r="AA10" s="12" t="s">
        <v>90</v>
      </c>
      <c r="AB10" s="11" t="s">
        <v>93</v>
      </c>
      <c r="AC10" s="12" t="s">
        <v>94</v>
      </c>
      <c r="AD10" s="11" t="s">
        <v>44</v>
      </c>
      <c r="AE10" s="12" t="s">
        <v>45</v>
      </c>
      <c r="AF10" s="14">
        <v>0.49997259999999999</v>
      </c>
      <c r="AG10" s="11" t="s">
        <v>46</v>
      </c>
    </row>
    <row r="11" spans="1:33" x14ac:dyDescent="0.2">
      <c r="A11" s="8">
        <v>3321</v>
      </c>
      <c r="B11" s="9" t="s">
        <v>72</v>
      </c>
      <c r="C11" s="10">
        <v>43297</v>
      </c>
      <c r="D11" s="11">
        <v>128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95</v>
      </c>
      <c r="J11" s="12" t="s">
        <v>96</v>
      </c>
      <c r="K11" s="13" t="s">
        <v>83</v>
      </c>
      <c r="L11" s="11" t="str">
        <f>"000060"</f>
        <v>000060</v>
      </c>
      <c r="M11" s="10">
        <v>42670</v>
      </c>
      <c r="N11" s="11" t="str">
        <f>"000398"</f>
        <v>000398</v>
      </c>
      <c r="O11" s="10">
        <v>42735</v>
      </c>
      <c r="P11" s="11" t="str">
        <f>"000675"</f>
        <v>000675</v>
      </c>
      <c r="Q11" s="10">
        <v>42735</v>
      </c>
      <c r="R11" s="11">
        <v>17</v>
      </c>
      <c r="S11" s="11" t="str">
        <f>"003544"</f>
        <v>003544</v>
      </c>
      <c r="T11" s="10">
        <v>43291</v>
      </c>
      <c r="U11" s="14">
        <v>49.817300000000003</v>
      </c>
      <c r="V11" s="14">
        <v>7.0248299999999997</v>
      </c>
      <c r="W11" s="14">
        <v>42.792470000000002</v>
      </c>
      <c r="X11" s="11">
        <v>125</v>
      </c>
      <c r="Y11" s="10">
        <v>43297</v>
      </c>
      <c r="Z11" s="11">
        <v>9900000000</v>
      </c>
      <c r="AA11" s="12" t="s">
        <v>97</v>
      </c>
      <c r="AB11" s="11" t="s">
        <v>93</v>
      </c>
      <c r="AC11" s="12" t="s">
        <v>94</v>
      </c>
      <c r="AD11" s="11" t="s">
        <v>44</v>
      </c>
      <c r="AE11" s="12" t="s">
        <v>45</v>
      </c>
      <c r="AF11" s="14">
        <v>0.49817300000000003</v>
      </c>
      <c r="AG11" s="11" t="s">
        <v>46</v>
      </c>
    </row>
    <row r="12" spans="1:33" x14ac:dyDescent="0.2">
      <c r="A12" s="8">
        <v>3322</v>
      </c>
      <c r="B12" s="9" t="s">
        <v>72</v>
      </c>
      <c r="C12" s="10">
        <v>43297</v>
      </c>
      <c r="D12" s="11">
        <v>128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98</v>
      </c>
      <c r="J12" s="12" t="s">
        <v>99</v>
      </c>
      <c r="K12" s="13" t="s">
        <v>83</v>
      </c>
      <c r="L12" s="11" t="str">
        <f>"000080"</f>
        <v>000080</v>
      </c>
      <c r="M12" s="10">
        <v>42447</v>
      </c>
      <c r="N12" s="11" t="str">
        <f>"000402"</f>
        <v>000402</v>
      </c>
      <c r="O12" s="10">
        <v>42735</v>
      </c>
      <c r="P12" s="11" t="str">
        <f>"000685"</f>
        <v>000685</v>
      </c>
      <c r="Q12" s="10">
        <v>42735</v>
      </c>
      <c r="R12" s="11">
        <v>16</v>
      </c>
      <c r="S12" s="11" t="str">
        <f>"003545"</f>
        <v>003545</v>
      </c>
      <c r="T12" s="10">
        <v>43291</v>
      </c>
      <c r="U12" s="14">
        <v>9.4350000000000005</v>
      </c>
      <c r="V12" s="14">
        <v>1.1546000000000001</v>
      </c>
      <c r="W12" s="14">
        <v>8.2804000000000002</v>
      </c>
      <c r="X12" s="11">
        <v>125</v>
      </c>
      <c r="Y12" s="10">
        <v>43297</v>
      </c>
      <c r="Z12" s="11">
        <v>9448505071</v>
      </c>
      <c r="AA12" s="12" t="s">
        <v>100</v>
      </c>
      <c r="AB12" s="11" t="s">
        <v>101</v>
      </c>
      <c r="AC12" s="12" t="s">
        <v>102</v>
      </c>
      <c r="AD12" s="11" t="s">
        <v>44</v>
      </c>
      <c r="AE12" s="12" t="s">
        <v>45</v>
      </c>
      <c r="AF12" s="14">
        <v>9.4350000000000003E-2</v>
      </c>
      <c r="AG12" s="11" t="s">
        <v>46</v>
      </c>
    </row>
    <row r="13" spans="1:33" x14ac:dyDescent="0.2">
      <c r="A13" s="8">
        <v>3382</v>
      </c>
      <c r="B13" s="9" t="s">
        <v>72</v>
      </c>
      <c r="C13" s="10">
        <v>43298</v>
      </c>
      <c r="D13" s="11">
        <v>128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103</v>
      </c>
      <c r="J13" s="12" t="s">
        <v>104</v>
      </c>
      <c r="K13" s="13" t="s">
        <v>40</v>
      </c>
      <c r="L13" s="11" t="str">
        <f>"000201"</f>
        <v>000201</v>
      </c>
      <c r="M13" s="10">
        <v>43146</v>
      </c>
      <c r="N13" s="11" t="str">
        <f>"000003"</f>
        <v>000003</v>
      </c>
      <c r="O13" s="10">
        <v>43200</v>
      </c>
      <c r="P13" s="11" t="str">
        <f>"000010"</f>
        <v>000010</v>
      </c>
      <c r="Q13" s="10">
        <v>43201</v>
      </c>
      <c r="R13" s="11">
        <v>18</v>
      </c>
      <c r="S13" s="11" t="str">
        <f>"003326"</f>
        <v>003326</v>
      </c>
      <c r="T13" s="10">
        <v>43286</v>
      </c>
      <c r="U13" s="14">
        <v>49.587400000000002</v>
      </c>
      <c r="V13" s="14">
        <v>5.8728999999999996</v>
      </c>
      <c r="W13" s="14">
        <v>43.714500000000001</v>
      </c>
      <c r="X13" s="11">
        <v>126</v>
      </c>
      <c r="Y13" s="10">
        <v>43298</v>
      </c>
      <c r="Z13" s="11">
        <v>9900000000</v>
      </c>
      <c r="AA13" s="12" t="s">
        <v>90</v>
      </c>
      <c r="AB13" s="11" t="s">
        <v>105</v>
      </c>
      <c r="AC13" s="12" t="s">
        <v>106</v>
      </c>
      <c r="AD13" s="11" t="s">
        <v>44</v>
      </c>
      <c r="AE13" s="12" t="s">
        <v>45</v>
      </c>
      <c r="AF13" s="14">
        <v>0.49587400000000004</v>
      </c>
      <c r="AG13" s="11" t="s">
        <v>87</v>
      </c>
    </row>
    <row r="14" spans="1:33" x14ac:dyDescent="0.2">
      <c r="A14" s="8">
        <v>3562</v>
      </c>
      <c r="B14" s="9" t="s">
        <v>72</v>
      </c>
      <c r="C14" s="10">
        <v>43299</v>
      </c>
      <c r="D14" s="11">
        <v>128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107</v>
      </c>
      <c r="J14" s="12" t="s">
        <v>108</v>
      </c>
      <c r="K14" s="13" t="s">
        <v>109</v>
      </c>
      <c r="L14" s="11" t="str">
        <f>"000o77"</f>
        <v>000o77</v>
      </c>
      <c r="M14" s="10">
        <v>42899</v>
      </c>
      <c r="N14" s="11" t="str">
        <f>"000067"</f>
        <v>000067</v>
      </c>
      <c r="O14" s="10">
        <v>42916</v>
      </c>
      <c r="P14" s="11" t="str">
        <f>"000216"</f>
        <v>000216</v>
      </c>
      <c r="Q14" s="10">
        <v>42916</v>
      </c>
      <c r="R14" s="11">
        <v>17</v>
      </c>
      <c r="S14" s="11" t="str">
        <f>"003771"</f>
        <v>003771</v>
      </c>
      <c r="T14" s="10">
        <v>43294</v>
      </c>
      <c r="U14" s="14">
        <v>19.923300000000001</v>
      </c>
      <c r="V14" s="14">
        <v>2.6107999999999998</v>
      </c>
      <c r="W14" s="14">
        <v>17.3125</v>
      </c>
      <c r="X14" s="11">
        <v>129</v>
      </c>
      <c r="Y14" s="10">
        <v>43299</v>
      </c>
      <c r="Z14" s="11">
        <v>9900000000</v>
      </c>
      <c r="AA14" s="12" t="s">
        <v>110</v>
      </c>
      <c r="AB14" s="11" t="s">
        <v>93</v>
      </c>
      <c r="AC14" s="12" t="s">
        <v>94</v>
      </c>
      <c r="AD14" s="11" t="s">
        <v>44</v>
      </c>
      <c r="AE14" s="12" t="s">
        <v>45</v>
      </c>
      <c r="AF14" s="14">
        <v>0.19923300000000002</v>
      </c>
      <c r="AG14" s="11" t="s">
        <v>46</v>
      </c>
    </row>
    <row r="15" spans="1:33" x14ac:dyDescent="0.2">
      <c r="A15" s="8">
        <v>3563</v>
      </c>
      <c r="B15" s="9" t="s">
        <v>72</v>
      </c>
      <c r="C15" s="10">
        <v>43299</v>
      </c>
      <c r="D15" s="11">
        <v>128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111</v>
      </c>
      <c r="J15" s="12" t="s">
        <v>112</v>
      </c>
      <c r="K15" s="13" t="s">
        <v>50</v>
      </c>
      <c r="L15" s="11" t="str">
        <f>"000Q75"</f>
        <v>000Q75</v>
      </c>
      <c r="M15" s="10">
        <v>42894</v>
      </c>
      <c r="N15" s="11" t="str">
        <f>"000066"</f>
        <v>000066</v>
      </c>
      <c r="O15" s="10">
        <v>42916</v>
      </c>
      <c r="P15" s="11" t="str">
        <f>"000214"</f>
        <v>000214</v>
      </c>
      <c r="Q15" s="10">
        <v>42916</v>
      </c>
      <c r="R15" s="11">
        <v>17</v>
      </c>
      <c r="S15" s="11" t="str">
        <f>"003817"</f>
        <v>003817</v>
      </c>
      <c r="T15" s="10">
        <v>43297</v>
      </c>
      <c r="U15" s="14">
        <v>14.9712</v>
      </c>
      <c r="V15" s="14">
        <v>2.0320999999999998</v>
      </c>
      <c r="W15" s="14">
        <v>12.9391</v>
      </c>
      <c r="X15" s="11">
        <v>129</v>
      </c>
      <c r="Y15" s="10">
        <v>43299</v>
      </c>
      <c r="Z15" s="11">
        <v>9900000000</v>
      </c>
      <c r="AA15" s="12" t="s">
        <v>113</v>
      </c>
      <c r="AB15" s="11" t="s">
        <v>101</v>
      </c>
      <c r="AC15" s="12" t="s">
        <v>102</v>
      </c>
      <c r="AD15" s="11" t="s">
        <v>44</v>
      </c>
      <c r="AE15" s="12" t="s">
        <v>45</v>
      </c>
      <c r="AF15" s="14">
        <v>0.14971199999999998</v>
      </c>
      <c r="AG15" s="11" t="s">
        <v>46</v>
      </c>
    </row>
    <row r="16" spans="1:33" x14ac:dyDescent="0.2">
      <c r="A16" s="8">
        <v>3770</v>
      </c>
      <c r="B16" s="9" t="s">
        <v>72</v>
      </c>
      <c r="C16" s="10">
        <v>43301</v>
      </c>
      <c r="D16" s="11">
        <v>128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114</v>
      </c>
      <c r="J16" s="12" t="s">
        <v>115</v>
      </c>
      <c r="K16" s="13" t="s">
        <v>83</v>
      </c>
      <c r="L16" s="11" t="str">
        <f>"000004"</f>
        <v>000004</v>
      </c>
      <c r="M16" s="10">
        <v>42931</v>
      </c>
      <c r="N16" s="11" t="str">
        <f>"000097"</f>
        <v>000097</v>
      </c>
      <c r="O16" s="10">
        <v>43153</v>
      </c>
      <c r="P16" s="11" t="str">
        <f>"000124"</f>
        <v>000124</v>
      </c>
      <c r="Q16" s="10">
        <v>43153</v>
      </c>
      <c r="R16" s="11">
        <v>16</v>
      </c>
      <c r="S16" s="11" t="str">
        <f>"003951"</f>
        <v>003951</v>
      </c>
      <c r="T16" s="10">
        <v>43299</v>
      </c>
      <c r="U16" s="14">
        <v>12.62006</v>
      </c>
      <c r="V16" s="14">
        <v>1.2746200000000001</v>
      </c>
      <c r="W16" s="14">
        <v>11.34544</v>
      </c>
      <c r="X16" s="11">
        <v>134</v>
      </c>
      <c r="Y16" s="10">
        <v>43301</v>
      </c>
      <c r="Z16" s="11">
        <v>9845007123</v>
      </c>
      <c r="AA16" s="12" t="s">
        <v>116</v>
      </c>
      <c r="AB16" s="11" t="s">
        <v>117</v>
      </c>
      <c r="AC16" s="12" t="s">
        <v>118</v>
      </c>
      <c r="AD16" s="11" t="s">
        <v>70</v>
      </c>
      <c r="AE16" s="12" t="s">
        <v>71</v>
      </c>
      <c r="AF16" s="14">
        <v>0.1262006</v>
      </c>
      <c r="AG16" s="11" t="s">
        <v>46</v>
      </c>
    </row>
    <row r="17" spans="1:33" x14ac:dyDescent="0.2">
      <c r="A17" s="8">
        <v>4006</v>
      </c>
      <c r="B17" s="9" t="s">
        <v>72</v>
      </c>
      <c r="C17" s="10">
        <v>43307</v>
      </c>
      <c r="D17" s="11">
        <v>128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119</v>
      </c>
      <c r="J17" s="12" t="s">
        <v>120</v>
      </c>
      <c r="K17" s="13" t="s">
        <v>75</v>
      </c>
      <c r="L17" s="11" t="str">
        <f>"000073"</f>
        <v>000073</v>
      </c>
      <c r="M17" s="10">
        <v>42723</v>
      </c>
      <c r="N17" s="11" t="str">
        <f>"000160"</f>
        <v>000160</v>
      </c>
      <c r="O17" s="10">
        <v>42811</v>
      </c>
      <c r="P17" s="11" t="str">
        <f>"000008"</f>
        <v>000008</v>
      </c>
      <c r="Q17" s="10">
        <v>42832</v>
      </c>
      <c r="R17" s="11">
        <v>17</v>
      </c>
      <c r="S17" s="11" t="str">
        <f>"004238"</f>
        <v>004238</v>
      </c>
      <c r="T17" s="10">
        <v>43305</v>
      </c>
      <c r="U17" s="14">
        <v>49.485010000000003</v>
      </c>
      <c r="V17" s="14">
        <v>6.1811400000000001</v>
      </c>
      <c r="W17" s="14">
        <v>43.303870000000003</v>
      </c>
      <c r="X17" s="11">
        <v>142</v>
      </c>
      <c r="Y17" s="10">
        <v>43307</v>
      </c>
      <c r="Z17" s="11">
        <v>9449863064</v>
      </c>
      <c r="AA17" s="12" t="s">
        <v>121</v>
      </c>
      <c r="AB17" s="11" t="s">
        <v>77</v>
      </c>
      <c r="AC17" s="12" t="s">
        <v>78</v>
      </c>
      <c r="AD17" s="11" t="s">
        <v>79</v>
      </c>
      <c r="AE17" s="12" t="s">
        <v>80</v>
      </c>
      <c r="AF17" s="14">
        <v>0.49485010000000001</v>
      </c>
      <c r="AG17" s="11" t="s">
        <v>46</v>
      </c>
    </row>
    <row r="18" spans="1:33" x14ac:dyDescent="0.2">
      <c r="A18" s="8">
        <v>4533</v>
      </c>
      <c r="B18" s="9" t="s">
        <v>122</v>
      </c>
      <c r="C18" s="10">
        <v>43318</v>
      </c>
      <c r="D18" s="11">
        <v>128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123</v>
      </c>
      <c r="J18" s="12" t="s">
        <v>124</v>
      </c>
      <c r="K18" s="13" t="s">
        <v>109</v>
      </c>
      <c r="L18" s="11" t="str">
        <f>"000026"</f>
        <v>000026</v>
      </c>
      <c r="M18" s="10">
        <v>42858</v>
      </c>
      <c r="N18" s="11" t="str">
        <f>""</f>
        <v/>
      </c>
      <c r="O18" s="10">
        <v>43200</v>
      </c>
      <c r="P18" s="11" t="str">
        <f>""</f>
        <v/>
      </c>
      <c r="Q18" s="10"/>
      <c r="R18" s="11">
        <v>17</v>
      </c>
      <c r="S18" s="11" t="str">
        <f>""</f>
        <v/>
      </c>
      <c r="T18" s="10"/>
      <c r="U18" s="14">
        <v>14.635899999999999</v>
      </c>
      <c r="V18" s="14">
        <v>1.9281999999999999</v>
      </c>
      <c r="W18" s="14">
        <v>12.707700000000001</v>
      </c>
      <c r="X18" s="11">
        <v>160</v>
      </c>
      <c r="Y18" s="10">
        <v>43318</v>
      </c>
      <c r="Z18" s="11">
        <v>9900000000</v>
      </c>
      <c r="AA18" s="12" t="s">
        <v>125</v>
      </c>
      <c r="AB18" s="11" t="s">
        <v>126</v>
      </c>
      <c r="AC18" s="12" t="s">
        <v>127</v>
      </c>
      <c r="AD18" s="11" t="s">
        <v>44</v>
      </c>
      <c r="AE18" s="12" t="s">
        <v>45</v>
      </c>
      <c r="AF18" s="14">
        <v>0.14635899999999999</v>
      </c>
      <c r="AG18" s="11" t="s">
        <v>87</v>
      </c>
    </row>
    <row r="19" spans="1:33" x14ac:dyDescent="0.2">
      <c r="A19" s="8">
        <v>4862</v>
      </c>
      <c r="B19" s="9" t="s">
        <v>122</v>
      </c>
      <c r="C19" s="10">
        <v>43326</v>
      </c>
      <c r="D19" s="11">
        <v>128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128</v>
      </c>
      <c r="J19" s="12" t="s">
        <v>129</v>
      </c>
      <c r="K19" s="13" t="s">
        <v>75</v>
      </c>
      <c r="L19" s="11" t="str">
        <f>"000068"</f>
        <v>000068</v>
      </c>
      <c r="M19" s="10">
        <v>42894</v>
      </c>
      <c r="N19" s="11" t="str">
        <f>"000010"</f>
        <v>000010</v>
      </c>
      <c r="O19" s="10">
        <v>42935</v>
      </c>
      <c r="P19" s="11" t="str">
        <f>"0000170"</f>
        <v>0000170</v>
      </c>
      <c r="Q19" s="10">
        <v>42916</v>
      </c>
      <c r="R19" s="11">
        <v>17</v>
      </c>
      <c r="S19" s="11" t="str">
        <f>"005128"</f>
        <v>005128</v>
      </c>
      <c r="T19" s="10">
        <v>43325</v>
      </c>
      <c r="U19" s="14">
        <v>19.775600000000001</v>
      </c>
      <c r="V19" s="14">
        <v>2.6215000000000002</v>
      </c>
      <c r="W19" s="14">
        <v>17.1541</v>
      </c>
      <c r="X19" s="11">
        <v>172</v>
      </c>
      <c r="Y19" s="10">
        <v>43326</v>
      </c>
      <c r="Z19" s="11">
        <v>9900000000</v>
      </c>
      <c r="AA19" s="12" t="s">
        <v>90</v>
      </c>
      <c r="AB19" s="11" t="s">
        <v>101</v>
      </c>
      <c r="AC19" s="12" t="s">
        <v>102</v>
      </c>
      <c r="AD19" s="11" t="s">
        <v>44</v>
      </c>
      <c r="AE19" s="12" t="s">
        <v>45</v>
      </c>
      <c r="AF19" s="14">
        <v>0.19775600000000002</v>
      </c>
      <c r="AG19" s="11" t="s">
        <v>46</v>
      </c>
    </row>
    <row r="20" spans="1:33" x14ac:dyDescent="0.2">
      <c r="A20" s="8">
        <v>4863</v>
      </c>
      <c r="B20" s="9" t="s">
        <v>122</v>
      </c>
      <c r="C20" s="10">
        <v>43326</v>
      </c>
      <c r="D20" s="11">
        <v>128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130</v>
      </c>
      <c r="J20" s="12" t="s">
        <v>131</v>
      </c>
      <c r="K20" s="13" t="s">
        <v>75</v>
      </c>
      <c r="L20" s="11" t="str">
        <f>"000069"</f>
        <v>000069</v>
      </c>
      <c r="M20" s="10">
        <v>42894</v>
      </c>
      <c r="N20" s="11" t="str">
        <f>"000007"</f>
        <v>000007</v>
      </c>
      <c r="O20" s="10">
        <v>42935</v>
      </c>
      <c r="P20" s="11" t="str">
        <f>"0000176"</f>
        <v>0000176</v>
      </c>
      <c r="Q20" s="10">
        <v>42916</v>
      </c>
      <c r="R20" s="11">
        <v>17</v>
      </c>
      <c r="S20" s="11" t="str">
        <f>"005129"</f>
        <v>005129</v>
      </c>
      <c r="T20" s="10">
        <v>43325</v>
      </c>
      <c r="U20" s="14">
        <v>4.8643000000000001</v>
      </c>
      <c r="V20" s="14">
        <v>0.60440000000000005</v>
      </c>
      <c r="W20" s="14">
        <v>4.2599</v>
      </c>
      <c r="X20" s="11">
        <v>172</v>
      </c>
      <c r="Y20" s="10">
        <v>43326</v>
      </c>
      <c r="Z20" s="11">
        <v>9900000000</v>
      </c>
      <c r="AA20" s="12" t="s">
        <v>90</v>
      </c>
      <c r="AB20" s="11" t="s">
        <v>101</v>
      </c>
      <c r="AC20" s="12" t="s">
        <v>102</v>
      </c>
      <c r="AD20" s="11" t="s">
        <v>44</v>
      </c>
      <c r="AE20" s="12" t="s">
        <v>45</v>
      </c>
      <c r="AF20" s="14">
        <v>4.8642999999999999E-2</v>
      </c>
      <c r="AG20" s="11" t="s">
        <v>46</v>
      </c>
    </row>
    <row r="21" spans="1:33" x14ac:dyDescent="0.2">
      <c r="A21" s="8">
        <v>5139</v>
      </c>
      <c r="B21" s="9" t="s">
        <v>122</v>
      </c>
      <c r="C21" s="10">
        <v>43339</v>
      </c>
      <c r="D21" s="11">
        <v>128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132</v>
      </c>
      <c r="J21" s="12" t="s">
        <v>133</v>
      </c>
      <c r="K21" s="13" t="s">
        <v>83</v>
      </c>
      <c r="L21" s="11" t="str">
        <f>"000007"</f>
        <v>000007</v>
      </c>
      <c r="M21" s="10">
        <v>43293</v>
      </c>
      <c r="N21" s="11" t="str">
        <f>"000063"</f>
        <v>000063</v>
      </c>
      <c r="O21" s="10">
        <v>43321</v>
      </c>
      <c r="P21" s="11" t="str">
        <f>"000062"</f>
        <v>000062</v>
      </c>
      <c r="Q21" s="10">
        <v>43321</v>
      </c>
      <c r="R21" s="11">
        <v>17</v>
      </c>
      <c r="S21" s="11" t="str">
        <f>"005404"</f>
        <v>005404</v>
      </c>
      <c r="T21" s="10">
        <v>43339</v>
      </c>
      <c r="U21" s="14">
        <v>9.9982399999999991</v>
      </c>
      <c r="V21" s="14">
        <v>1.0598099999999999</v>
      </c>
      <c r="W21" s="14">
        <v>8.9384300000000003</v>
      </c>
      <c r="X21" s="11">
        <v>184</v>
      </c>
      <c r="Y21" s="10">
        <v>43339</v>
      </c>
      <c r="Z21" s="11">
        <v>9739457353</v>
      </c>
      <c r="AA21" s="12" t="s">
        <v>134</v>
      </c>
      <c r="AB21" s="11" t="s">
        <v>85</v>
      </c>
      <c r="AC21" s="12" t="s">
        <v>86</v>
      </c>
      <c r="AD21" s="11" t="s">
        <v>70</v>
      </c>
      <c r="AE21" s="12" t="s">
        <v>71</v>
      </c>
      <c r="AF21" s="14">
        <v>9.9982399999999985E-2</v>
      </c>
      <c r="AG21" s="11" t="s">
        <v>135</v>
      </c>
    </row>
    <row r="22" spans="1:33" x14ac:dyDescent="0.2">
      <c r="A22" s="8">
        <v>5290</v>
      </c>
      <c r="B22" s="9" t="s">
        <v>136</v>
      </c>
      <c r="C22" s="10">
        <v>43346</v>
      </c>
      <c r="D22" s="11">
        <v>128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137</v>
      </c>
      <c r="J22" s="12" t="s">
        <v>138</v>
      </c>
      <c r="K22" s="13" t="s">
        <v>50</v>
      </c>
      <c r="L22" s="11" t="str">
        <f>"000052"</f>
        <v>000052</v>
      </c>
      <c r="M22" s="10">
        <v>41881</v>
      </c>
      <c r="N22" s="11" t="str">
        <f>"000044"</f>
        <v>000044</v>
      </c>
      <c r="O22" s="10">
        <v>43308</v>
      </c>
      <c r="P22" s="11" t="str">
        <f>"000107"</f>
        <v>000107</v>
      </c>
      <c r="Q22" s="10">
        <v>43308</v>
      </c>
      <c r="R22" s="11">
        <v>13</v>
      </c>
      <c r="S22" s="11" t="str">
        <f>"005425"</f>
        <v>005425</v>
      </c>
      <c r="T22" s="10">
        <v>43340</v>
      </c>
      <c r="U22" s="14">
        <v>9.0047999999999995</v>
      </c>
      <c r="V22" s="14">
        <v>0.81679999999999997</v>
      </c>
      <c r="W22" s="14">
        <v>8.1880000000000006</v>
      </c>
      <c r="X22" s="11">
        <v>187</v>
      </c>
      <c r="Y22" s="10">
        <v>43346</v>
      </c>
      <c r="Z22" s="11">
        <v>9986953888</v>
      </c>
      <c r="AA22" s="12" t="s">
        <v>139</v>
      </c>
      <c r="AB22" s="11" t="s">
        <v>105</v>
      </c>
      <c r="AC22" s="12" t="s">
        <v>106</v>
      </c>
      <c r="AD22" s="11" t="s">
        <v>44</v>
      </c>
      <c r="AE22" s="12" t="s">
        <v>45</v>
      </c>
      <c r="AF22" s="14">
        <f t="shared" ref="AF22:AF46" si="0">U22/100</f>
        <v>9.0047999999999989E-2</v>
      </c>
      <c r="AG22" s="11" t="s">
        <v>87</v>
      </c>
    </row>
    <row r="23" spans="1:33" x14ac:dyDescent="0.2">
      <c r="A23" s="8">
        <v>5291</v>
      </c>
      <c r="B23" s="9" t="s">
        <v>136</v>
      </c>
      <c r="C23" s="10">
        <v>43346</v>
      </c>
      <c r="D23" s="11">
        <v>128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140</v>
      </c>
      <c r="J23" s="12" t="s">
        <v>141</v>
      </c>
      <c r="K23" s="13" t="s">
        <v>75</v>
      </c>
      <c r="L23" s="11" t="str">
        <f>"000002"</f>
        <v>000002</v>
      </c>
      <c r="M23" s="10">
        <v>42853</v>
      </c>
      <c r="N23" s="11" t="str">
        <f>"00.005"</f>
        <v>00.005</v>
      </c>
      <c r="O23" s="10">
        <v>42916</v>
      </c>
      <c r="P23" s="11" t="str">
        <f>"000072"</f>
        <v>000072</v>
      </c>
      <c r="Q23" s="10">
        <v>42916</v>
      </c>
      <c r="R23" s="11">
        <v>17</v>
      </c>
      <c r="S23" s="11" t="str">
        <f>"005509"</f>
        <v>005509</v>
      </c>
      <c r="T23" s="10">
        <v>43341</v>
      </c>
      <c r="U23" s="14">
        <v>49.874000000000002</v>
      </c>
      <c r="V23" s="14">
        <v>6.1958500000000001</v>
      </c>
      <c r="W23" s="14">
        <v>43.678150000000002</v>
      </c>
      <c r="X23" s="11">
        <v>189</v>
      </c>
      <c r="Y23" s="10">
        <v>43346</v>
      </c>
      <c r="Z23" s="11">
        <v>8496023544</v>
      </c>
      <c r="AA23" s="12" t="s">
        <v>142</v>
      </c>
      <c r="AB23" s="11" t="s">
        <v>77</v>
      </c>
      <c r="AC23" s="12" t="s">
        <v>78</v>
      </c>
      <c r="AD23" s="11" t="s">
        <v>79</v>
      </c>
      <c r="AE23" s="12" t="s">
        <v>80</v>
      </c>
      <c r="AF23" s="14">
        <f t="shared" si="0"/>
        <v>0.49874000000000002</v>
      </c>
      <c r="AG23" s="11" t="s">
        <v>46</v>
      </c>
    </row>
    <row r="24" spans="1:33" x14ac:dyDescent="0.2">
      <c r="A24" s="8">
        <v>5478</v>
      </c>
      <c r="B24" s="9" t="s">
        <v>136</v>
      </c>
      <c r="C24" s="10">
        <v>43357</v>
      </c>
      <c r="D24" s="11">
        <v>128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143</v>
      </c>
      <c r="J24" s="12" t="s">
        <v>144</v>
      </c>
      <c r="K24" s="13" t="s">
        <v>75</v>
      </c>
      <c r="L24" s="11" t="str">
        <f>"000041"</f>
        <v>000041</v>
      </c>
      <c r="M24" s="10">
        <v>42944</v>
      </c>
      <c r="N24" s="11" t="str">
        <f>"000025"</f>
        <v>000025</v>
      </c>
      <c r="O24" s="10">
        <v>42945</v>
      </c>
      <c r="P24" s="11" t="str">
        <f>"000048"</f>
        <v>000048</v>
      </c>
      <c r="Q24" s="10">
        <v>42945</v>
      </c>
      <c r="R24" s="11">
        <v>17</v>
      </c>
      <c r="S24" s="11" t="str">
        <f>"005735"</f>
        <v>005735</v>
      </c>
      <c r="T24" s="10">
        <v>43354</v>
      </c>
      <c r="U24" s="14">
        <v>49.982999999999997</v>
      </c>
      <c r="V24" s="14">
        <v>7.0484999999999998</v>
      </c>
      <c r="W24" s="14">
        <v>42.9345</v>
      </c>
      <c r="X24" s="11">
        <v>203</v>
      </c>
      <c r="Y24" s="10">
        <v>43357</v>
      </c>
      <c r="Z24" s="11">
        <v>9900000000</v>
      </c>
      <c r="AA24" s="12" t="s">
        <v>90</v>
      </c>
      <c r="AB24" s="11" t="s">
        <v>93</v>
      </c>
      <c r="AC24" s="12" t="s">
        <v>94</v>
      </c>
      <c r="AD24" s="11" t="s">
        <v>44</v>
      </c>
      <c r="AE24" s="12" t="s">
        <v>45</v>
      </c>
      <c r="AF24" s="14">
        <f t="shared" si="0"/>
        <v>0.49983</v>
      </c>
      <c r="AG24" s="11" t="s">
        <v>46</v>
      </c>
    </row>
    <row r="25" spans="1:33" x14ac:dyDescent="0.2">
      <c r="A25" s="8">
        <v>5479</v>
      </c>
      <c r="B25" s="9" t="s">
        <v>136</v>
      </c>
      <c r="C25" s="10">
        <v>43357</v>
      </c>
      <c r="D25" s="11">
        <v>128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145</v>
      </c>
      <c r="J25" s="12" t="s">
        <v>146</v>
      </c>
      <c r="K25" s="13" t="s">
        <v>75</v>
      </c>
      <c r="L25" s="11" t="str">
        <f>"000040"</f>
        <v>000040</v>
      </c>
      <c r="M25" s="10">
        <v>42944</v>
      </c>
      <c r="N25" s="11" t="str">
        <f>"000024"</f>
        <v>000024</v>
      </c>
      <c r="O25" s="10">
        <v>42945</v>
      </c>
      <c r="P25" s="11" t="str">
        <f>"000049"</f>
        <v>000049</v>
      </c>
      <c r="Q25" s="10">
        <v>42945</v>
      </c>
      <c r="R25" s="11">
        <v>17</v>
      </c>
      <c r="S25" s="11" t="str">
        <f>"005736"</f>
        <v>005736</v>
      </c>
      <c r="T25" s="10">
        <v>43354</v>
      </c>
      <c r="U25" s="14">
        <v>49.948300000000003</v>
      </c>
      <c r="V25" s="14">
        <v>7.0438000000000001</v>
      </c>
      <c r="W25" s="14">
        <v>42.904499999999999</v>
      </c>
      <c r="X25" s="11">
        <v>203</v>
      </c>
      <c r="Y25" s="10">
        <v>43357</v>
      </c>
      <c r="Z25" s="11">
        <v>9900000000</v>
      </c>
      <c r="AA25" s="12" t="s">
        <v>90</v>
      </c>
      <c r="AB25" s="11" t="s">
        <v>93</v>
      </c>
      <c r="AC25" s="12" t="s">
        <v>94</v>
      </c>
      <c r="AD25" s="11" t="s">
        <v>44</v>
      </c>
      <c r="AE25" s="12" t="s">
        <v>45</v>
      </c>
      <c r="AF25" s="14">
        <f t="shared" si="0"/>
        <v>0.49948300000000001</v>
      </c>
      <c r="AG25" s="11" t="s">
        <v>46</v>
      </c>
    </row>
    <row r="26" spans="1:33" x14ac:dyDescent="0.2">
      <c r="A26" s="8">
        <v>5480</v>
      </c>
      <c r="B26" s="9" t="s">
        <v>136</v>
      </c>
      <c r="C26" s="10">
        <v>43357</v>
      </c>
      <c r="D26" s="11">
        <v>128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147</v>
      </c>
      <c r="J26" s="12" t="s">
        <v>148</v>
      </c>
      <c r="K26" s="13" t="s">
        <v>50</v>
      </c>
      <c r="L26" s="11" t="str">
        <f>"000039"</f>
        <v>000039</v>
      </c>
      <c r="M26" s="10">
        <v>42944</v>
      </c>
      <c r="N26" s="11" t="str">
        <f>"000023"</f>
        <v>000023</v>
      </c>
      <c r="O26" s="10">
        <v>42945</v>
      </c>
      <c r="P26" s="11" t="str">
        <f>"000050"</f>
        <v>000050</v>
      </c>
      <c r="Q26" s="10">
        <v>42945</v>
      </c>
      <c r="R26" s="11">
        <v>17</v>
      </c>
      <c r="S26" s="11" t="str">
        <f>"005737"</f>
        <v>005737</v>
      </c>
      <c r="T26" s="10">
        <v>43354</v>
      </c>
      <c r="U26" s="14">
        <v>49.975999999999999</v>
      </c>
      <c r="V26" s="14">
        <v>7.0476000000000001</v>
      </c>
      <c r="W26" s="14">
        <v>42.928400000000003</v>
      </c>
      <c r="X26" s="11">
        <v>203</v>
      </c>
      <c r="Y26" s="10">
        <v>43357</v>
      </c>
      <c r="Z26" s="11">
        <v>9900000000</v>
      </c>
      <c r="AA26" s="12" t="s">
        <v>90</v>
      </c>
      <c r="AB26" s="11" t="s">
        <v>93</v>
      </c>
      <c r="AC26" s="12" t="s">
        <v>94</v>
      </c>
      <c r="AD26" s="11" t="s">
        <v>44</v>
      </c>
      <c r="AE26" s="12" t="s">
        <v>45</v>
      </c>
      <c r="AF26" s="14">
        <f t="shared" si="0"/>
        <v>0.49975999999999998</v>
      </c>
      <c r="AG26" s="11" t="s">
        <v>46</v>
      </c>
    </row>
    <row r="27" spans="1:33" x14ac:dyDescent="0.2">
      <c r="A27" s="8">
        <v>5702</v>
      </c>
      <c r="B27" s="9" t="s">
        <v>136</v>
      </c>
      <c r="C27" s="10">
        <v>43370</v>
      </c>
      <c r="D27" s="11">
        <v>128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149</v>
      </c>
      <c r="J27" s="12" t="s">
        <v>150</v>
      </c>
      <c r="K27" s="13" t="s">
        <v>109</v>
      </c>
      <c r="L27" s="11" t="str">
        <f>"000090"</f>
        <v>000090</v>
      </c>
      <c r="M27" s="10">
        <v>43087</v>
      </c>
      <c r="N27" s="11" t="str">
        <f>"000049"</f>
        <v>000049</v>
      </c>
      <c r="O27" s="10">
        <v>43098</v>
      </c>
      <c r="P27" s="11" t="str">
        <f>"000107"</f>
        <v>000107</v>
      </c>
      <c r="Q27" s="10">
        <v>43099</v>
      </c>
      <c r="R27" s="11">
        <v>17</v>
      </c>
      <c r="S27" s="11" t="str">
        <f>"005962"</f>
        <v>005962</v>
      </c>
      <c r="T27" s="10">
        <v>43368</v>
      </c>
      <c r="U27" s="14">
        <v>49.948999999999998</v>
      </c>
      <c r="V27" s="14">
        <v>5.8448000000000002</v>
      </c>
      <c r="W27" s="14">
        <v>44.104199999999999</v>
      </c>
      <c r="X27" s="11">
        <v>218</v>
      </c>
      <c r="Y27" s="10">
        <v>43370</v>
      </c>
      <c r="Z27" s="11">
        <v>9900000000</v>
      </c>
      <c r="AA27" s="12" t="s">
        <v>90</v>
      </c>
      <c r="AB27" s="11" t="s">
        <v>101</v>
      </c>
      <c r="AC27" s="12" t="s">
        <v>102</v>
      </c>
      <c r="AD27" s="11" t="s">
        <v>44</v>
      </c>
      <c r="AE27" s="12" t="s">
        <v>45</v>
      </c>
      <c r="AF27" s="14">
        <f t="shared" si="0"/>
        <v>0.49948999999999999</v>
      </c>
      <c r="AG27" s="11" t="s">
        <v>46</v>
      </c>
    </row>
    <row r="28" spans="1:33" x14ac:dyDescent="0.2">
      <c r="A28" s="8">
        <v>6186</v>
      </c>
      <c r="B28" s="9" t="s">
        <v>151</v>
      </c>
      <c r="C28" s="10">
        <v>43385</v>
      </c>
      <c r="D28" s="11">
        <v>128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152</v>
      </c>
      <c r="J28" s="12" t="s">
        <v>153</v>
      </c>
      <c r="K28" s="13" t="s">
        <v>40</v>
      </c>
      <c r="L28" s="11" t="str">
        <f>"000013"</f>
        <v>000013</v>
      </c>
      <c r="M28" s="10">
        <v>43253</v>
      </c>
      <c r="N28" s="11" t="str">
        <f>"000038"</f>
        <v>000038</v>
      </c>
      <c r="O28" s="10">
        <v>43281</v>
      </c>
      <c r="P28" s="11" t="str">
        <f>"000101"</f>
        <v>000101</v>
      </c>
      <c r="Q28" s="10">
        <v>43287</v>
      </c>
      <c r="R28" s="11">
        <v>18</v>
      </c>
      <c r="S28" s="11" t="str">
        <f>"006257"</f>
        <v>006257</v>
      </c>
      <c r="T28" s="10">
        <v>43380</v>
      </c>
      <c r="U28" s="14">
        <v>199.7534</v>
      </c>
      <c r="V28" s="14">
        <v>19.527100000000001</v>
      </c>
      <c r="W28" s="14">
        <v>180.22630000000001</v>
      </c>
      <c r="X28" s="11">
        <v>228</v>
      </c>
      <c r="Y28" s="10">
        <v>43385</v>
      </c>
      <c r="Z28" s="11">
        <v>9900000000</v>
      </c>
      <c r="AA28" s="12" t="s">
        <v>90</v>
      </c>
      <c r="AB28" s="11" t="s">
        <v>154</v>
      </c>
      <c r="AC28" s="12" t="s">
        <v>155</v>
      </c>
      <c r="AD28" s="11" t="s">
        <v>44</v>
      </c>
      <c r="AE28" s="12" t="s">
        <v>45</v>
      </c>
      <c r="AF28" s="14">
        <f t="shared" si="0"/>
        <v>1.9975339999999999</v>
      </c>
      <c r="AG28" s="11" t="s">
        <v>135</v>
      </c>
    </row>
    <row r="29" spans="1:33" x14ac:dyDescent="0.2">
      <c r="A29" s="8">
        <v>6187</v>
      </c>
      <c r="B29" s="9" t="s">
        <v>151</v>
      </c>
      <c r="C29" s="10">
        <v>43385</v>
      </c>
      <c r="D29" s="11">
        <v>128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156</v>
      </c>
      <c r="J29" s="12" t="s">
        <v>157</v>
      </c>
      <c r="K29" s="13" t="s">
        <v>75</v>
      </c>
      <c r="L29" s="11" t="str">
        <f>"000017"</f>
        <v>000017</v>
      </c>
      <c r="M29" s="10">
        <v>42887</v>
      </c>
      <c r="N29" s="11" t="str">
        <f>"000023"</f>
        <v>000023</v>
      </c>
      <c r="O29" s="10">
        <v>42954</v>
      </c>
      <c r="P29" s="11" t="str">
        <f>"000067"</f>
        <v>000067</v>
      </c>
      <c r="Q29" s="10">
        <v>42954</v>
      </c>
      <c r="R29" s="11">
        <v>17</v>
      </c>
      <c r="S29" s="11" t="str">
        <f>"006170"</f>
        <v>006170</v>
      </c>
      <c r="T29" s="10">
        <v>43377</v>
      </c>
      <c r="U29" s="14">
        <v>14.974539999999999</v>
      </c>
      <c r="V29" s="14">
        <v>1.8219099999999999</v>
      </c>
      <c r="W29" s="14">
        <v>13.15263</v>
      </c>
      <c r="X29" s="11">
        <v>229</v>
      </c>
      <c r="Y29" s="10">
        <v>43385</v>
      </c>
      <c r="Z29" s="11">
        <v>9880576502</v>
      </c>
      <c r="AA29" s="12" t="s">
        <v>142</v>
      </c>
      <c r="AB29" s="11" t="s">
        <v>158</v>
      </c>
      <c r="AC29" s="12" t="s">
        <v>159</v>
      </c>
      <c r="AD29" s="11" t="s">
        <v>79</v>
      </c>
      <c r="AE29" s="12" t="s">
        <v>80</v>
      </c>
      <c r="AF29" s="14">
        <f t="shared" si="0"/>
        <v>0.1497454</v>
      </c>
      <c r="AG29" s="11" t="s">
        <v>46</v>
      </c>
    </row>
    <row r="30" spans="1:33" x14ac:dyDescent="0.2">
      <c r="A30" s="8">
        <v>6188</v>
      </c>
      <c r="B30" s="9" t="s">
        <v>151</v>
      </c>
      <c r="C30" s="10">
        <v>43385</v>
      </c>
      <c r="D30" s="11">
        <v>128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73</v>
      </c>
      <c r="J30" s="12" t="s">
        <v>74</v>
      </c>
      <c r="K30" s="13" t="s">
        <v>75</v>
      </c>
      <c r="L30" s="11" t="str">
        <f>"000072"</f>
        <v>000072</v>
      </c>
      <c r="M30" s="10">
        <v>42723</v>
      </c>
      <c r="N30" s="11" t="str">
        <f>"000024"</f>
        <v>000024</v>
      </c>
      <c r="O30" s="10">
        <v>42954</v>
      </c>
      <c r="P30" s="11" t="str">
        <f>"000068"</f>
        <v>000068</v>
      </c>
      <c r="Q30" s="10">
        <v>42954</v>
      </c>
      <c r="R30" s="11">
        <v>17</v>
      </c>
      <c r="S30" s="11" t="str">
        <f>"006171"</f>
        <v>006171</v>
      </c>
      <c r="T30" s="10">
        <v>43377</v>
      </c>
      <c r="U30" s="14">
        <v>25.226330000000001</v>
      </c>
      <c r="V30" s="14">
        <v>3.0751599999999999</v>
      </c>
      <c r="W30" s="14">
        <v>22.15117</v>
      </c>
      <c r="X30" s="11">
        <v>229</v>
      </c>
      <c r="Y30" s="10">
        <v>43385</v>
      </c>
      <c r="Z30" s="11">
        <v>8496023544</v>
      </c>
      <c r="AA30" s="12" t="s">
        <v>76</v>
      </c>
      <c r="AB30" s="11" t="s">
        <v>77</v>
      </c>
      <c r="AC30" s="12" t="s">
        <v>78</v>
      </c>
      <c r="AD30" s="11" t="s">
        <v>79</v>
      </c>
      <c r="AE30" s="12" t="s">
        <v>80</v>
      </c>
      <c r="AF30" s="14">
        <f t="shared" si="0"/>
        <v>0.25226330000000002</v>
      </c>
      <c r="AG30" s="11" t="s">
        <v>46</v>
      </c>
    </row>
    <row r="31" spans="1:33" x14ac:dyDescent="0.2">
      <c r="A31" s="8">
        <v>6189</v>
      </c>
      <c r="B31" s="9" t="s">
        <v>151</v>
      </c>
      <c r="C31" s="10">
        <v>43385</v>
      </c>
      <c r="D31" s="11">
        <v>128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160</v>
      </c>
      <c r="J31" s="12" t="s">
        <v>161</v>
      </c>
      <c r="K31" s="13" t="s">
        <v>75</v>
      </c>
      <c r="L31" s="11" t="str">
        <f>"000022"</f>
        <v>000022</v>
      </c>
      <c r="M31" s="10">
        <v>42955</v>
      </c>
      <c r="N31" s="11" t="str">
        <f>"000036"</f>
        <v>000036</v>
      </c>
      <c r="O31" s="10">
        <v>43001</v>
      </c>
      <c r="P31" s="11" t="str">
        <f>"000066"</f>
        <v>000066</v>
      </c>
      <c r="Q31" s="10">
        <v>43001</v>
      </c>
      <c r="R31" s="11">
        <v>17</v>
      </c>
      <c r="S31" s="11" t="str">
        <f>"006178"</f>
        <v>006178</v>
      </c>
      <c r="T31" s="10">
        <v>43377</v>
      </c>
      <c r="U31" s="14">
        <v>9.9913699999999999</v>
      </c>
      <c r="V31" s="14">
        <v>1.4588300000000001</v>
      </c>
      <c r="W31" s="14">
        <v>8.5325399999999991</v>
      </c>
      <c r="X31" s="11">
        <v>229</v>
      </c>
      <c r="Y31" s="10">
        <v>43385</v>
      </c>
      <c r="Z31" s="11">
        <v>9900333498</v>
      </c>
      <c r="AA31" s="12" t="s">
        <v>162</v>
      </c>
      <c r="AB31" s="11" t="s">
        <v>158</v>
      </c>
      <c r="AC31" s="12" t="s">
        <v>159</v>
      </c>
      <c r="AD31" s="11" t="s">
        <v>70</v>
      </c>
      <c r="AE31" s="12" t="s">
        <v>71</v>
      </c>
      <c r="AF31" s="14">
        <f t="shared" si="0"/>
        <v>9.9913699999999994E-2</v>
      </c>
      <c r="AG31" s="11" t="s">
        <v>46</v>
      </c>
    </row>
    <row r="32" spans="1:33" x14ac:dyDescent="0.2">
      <c r="A32" s="8">
        <v>6190</v>
      </c>
      <c r="B32" s="9" t="s">
        <v>151</v>
      </c>
      <c r="C32" s="10">
        <v>43385</v>
      </c>
      <c r="D32" s="11">
        <v>128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152</v>
      </c>
      <c r="J32" s="12" t="s">
        <v>153</v>
      </c>
      <c r="K32" s="13" t="s">
        <v>40</v>
      </c>
      <c r="L32" s="11" t="str">
        <f>"000013"</f>
        <v>000013</v>
      </c>
      <c r="M32" s="10">
        <v>43253</v>
      </c>
      <c r="N32" s="11" t="str">
        <f>"000038"</f>
        <v>000038</v>
      </c>
      <c r="O32" s="10">
        <v>43281</v>
      </c>
      <c r="P32" s="11" t="str">
        <f>"000101"</f>
        <v>000101</v>
      </c>
      <c r="Q32" s="10">
        <v>43287</v>
      </c>
      <c r="R32" s="11">
        <v>18</v>
      </c>
      <c r="S32" s="11" t="str">
        <f>"006257"</f>
        <v>006257</v>
      </c>
      <c r="T32" s="10">
        <v>43380</v>
      </c>
      <c r="U32" s="14">
        <v>199.7534</v>
      </c>
      <c r="V32" s="14">
        <v>19.527100000000001</v>
      </c>
      <c r="W32" s="14">
        <v>180.22630000000001</v>
      </c>
      <c r="X32" s="11">
        <v>228</v>
      </c>
      <c r="Y32" s="10">
        <v>43385</v>
      </c>
      <c r="Z32" s="11">
        <v>9900000000</v>
      </c>
      <c r="AA32" s="12" t="s">
        <v>90</v>
      </c>
      <c r="AB32" s="11" t="s">
        <v>154</v>
      </c>
      <c r="AC32" s="12" t="s">
        <v>155</v>
      </c>
      <c r="AD32" s="11" t="s">
        <v>44</v>
      </c>
      <c r="AE32" s="12" t="s">
        <v>45</v>
      </c>
      <c r="AF32" s="14">
        <f t="shared" si="0"/>
        <v>1.9975339999999999</v>
      </c>
      <c r="AG32" s="11" t="s">
        <v>135</v>
      </c>
    </row>
    <row r="33" spans="1:33" x14ac:dyDescent="0.2">
      <c r="A33" s="8">
        <v>6191</v>
      </c>
      <c r="B33" s="9" t="s">
        <v>151</v>
      </c>
      <c r="C33" s="10">
        <v>43385</v>
      </c>
      <c r="D33" s="11">
        <v>128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156</v>
      </c>
      <c r="J33" s="12" t="s">
        <v>157</v>
      </c>
      <c r="K33" s="13" t="s">
        <v>75</v>
      </c>
      <c r="L33" s="11" t="str">
        <f>"000017"</f>
        <v>000017</v>
      </c>
      <c r="M33" s="10">
        <v>42887</v>
      </c>
      <c r="N33" s="11" t="str">
        <f>"000023"</f>
        <v>000023</v>
      </c>
      <c r="O33" s="10">
        <v>42954</v>
      </c>
      <c r="P33" s="11" t="str">
        <f>"000067"</f>
        <v>000067</v>
      </c>
      <c r="Q33" s="10">
        <v>42954</v>
      </c>
      <c r="R33" s="11">
        <v>17</v>
      </c>
      <c r="S33" s="11" t="str">
        <f>"006170"</f>
        <v>006170</v>
      </c>
      <c r="T33" s="10">
        <v>43377</v>
      </c>
      <c r="U33" s="14">
        <v>14.974539999999999</v>
      </c>
      <c r="V33" s="14">
        <v>1.8219099999999999</v>
      </c>
      <c r="W33" s="14">
        <v>13.15263</v>
      </c>
      <c r="X33" s="11">
        <v>229</v>
      </c>
      <c r="Y33" s="10">
        <v>43385</v>
      </c>
      <c r="Z33" s="11">
        <v>9880576502</v>
      </c>
      <c r="AA33" s="12" t="s">
        <v>142</v>
      </c>
      <c r="AB33" s="11" t="s">
        <v>158</v>
      </c>
      <c r="AC33" s="12" t="s">
        <v>159</v>
      </c>
      <c r="AD33" s="11" t="s">
        <v>79</v>
      </c>
      <c r="AE33" s="12" t="s">
        <v>80</v>
      </c>
      <c r="AF33" s="14">
        <f t="shared" si="0"/>
        <v>0.1497454</v>
      </c>
      <c r="AG33" s="11" t="s">
        <v>46</v>
      </c>
    </row>
    <row r="34" spans="1:33" x14ac:dyDescent="0.2">
      <c r="A34" s="8">
        <v>6192</v>
      </c>
      <c r="B34" s="9" t="s">
        <v>151</v>
      </c>
      <c r="C34" s="10">
        <v>43385</v>
      </c>
      <c r="D34" s="11">
        <v>128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73</v>
      </c>
      <c r="J34" s="12" t="s">
        <v>74</v>
      </c>
      <c r="K34" s="13" t="s">
        <v>75</v>
      </c>
      <c r="L34" s="11" t="str">
        <f>"000072"</f>
        <v>000072</v>
      </c>
      <c r="M34" s="10">
        <v>42723</v>
      </c>
      <c r="N34" s="11" t="str">
        <f>"000024"</f>
        <v>000024</v>
      </c>
      <c r="O34" s="10">
        <v>42954</v>
      </c>
      <c r="P34" s="11" t="str">
        <f>"000068"</f>
        <v>000068</v>
      </c>
      <c r="Q34" s="10">
        <v>42954</v>
      </c>
      <c r="R34" s="11">
        <v>17</v>
      </c>
      <c r="S34" s="11" t="str">
        <f>"006171"</f>
        <v>006171</v>
      </c>
      <c r="T34" s="10">
        <v>43377</v>
      </c>
      <c r="U34" s="14">
        <v>25.226330000000001</v>
      </c>
      <c r="V34" s="14">
        <v>3.0751599999999999</v>
      </c>
      <c r="W34" s="14">
        <v>22.15117</v>
      </c>
      <c r="X34" s="11">
        <v>229</v>
      </c>
      <c r="Y34" s="10">
        <v>43385</v>
      </c>
      <c r="Z34" s="11">
        <v>8496023544</v>
      </c>
      <c r="AA34" s="12" t="s">
        <v>76</v>
      </c>
      <c r="AB34" s="11" t="s">
        <v>77</v>
      </c>
      <c r="AC34" s="12" t="s">
        <v>78</v>
      </c>
      <c r="AD34" s="11" t="s">
        <v>79</v>
      </c>
      <c r="AE34" s="12" t="s">
        <v>80</v>
      </c>
      <c r="AF34" s="14">
        <f t="shared" si="0"/>
        <v>0.25226330000000002</v>
      </c>
      <c r="AG34" s="11" t="s">
        <v>46</v>
      </c>
    </row>
    <row r="35" spans="1:33" x14ac:dyDescent="0.2">
      <c r="A35" s="8">
        <v>6193</v>
      </c>
      <c r="B35" s="9" t="s">
        <v>151</v>
      </c>
      <c r="C35" s="10">
        <v>43385</v>
      </c>
      <c r="D35" s="11">
        <v>128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160</v>
      </c>
      <c r="J35" s="12" t="s">
        <v>161</v>
      </c>
      <c r="K35" s="13" t="s">
        <v>75</v>
      </c>
      <c r="L35" s="11" t="str">
        <f>"000022"</f>
        <v>000022</v>
      </c>
      <c r="M35" s="10">
        <v>42955</v>
      </c>
      <c r="N35" s="11" t="str">
        <f>"000036"</f>
        <v>000036</v>
      </c>
      <c r="O35" s="10">
        <v>43001</v>
      </c>
      <c r="P35" s="11" t="str">
        <f>"000066"</f>
        <v>000066</v>
      </c>
      <c r="Q35" s="10">
        <v>43001</v>
      </c>
      <c r="R35" s="11">
        <v>17</v>
      </c>
      <c r="S35" s="11" t="str">
        <f>"006178"</f>
        <v>006178</v>
      </c>
      <c r="T35" s="10">
        <v>43377</v>
      </c>
      <c r="U35" s="14">
        <v>9.9913699999999999</v>
      </c>
      <c r="V35" s="14">
        <v>1.4588300000000001</v>
      </c>
      <c r="W35" s="14">
        <v>8.5325399999999991</v>
      </c>
      <c r="X35" s="11">
        <v>229</v>
      </c>
      <c r="Y35" s="10">
        <v>43385</v>
      </c>
      <c r="Z35" s="11">
        <v>9900333498</v>
      </c>
      <c r="AA35" s="12" t="s">
        <v>162</v>
      </c>
      <c r="AB35" s="11" t="s">
        <v>158</v>
      </c>
      <c r="AC35" s="12" t="s">
        <v>159</v>
      </c>
      <c r="AD35" s="11" t="s">
        <v>70</v>
      </c>
      <c r="AE35" s="12" t="s">
        <v>71</v>
      </c>
      <c r="AF35" s="14">
        <f t="shared" si="0"/>
        <v>9.9913699999999994E-2</v>
      </c>
      <c r="AG35" s="11" t="s">
        <v>46</v>
      </c>
    </row>
    <row r="36" spans="1:33" x14ac:dyDescent="0.2">
      <c r="A36" s="8">
        <v>6194</v>
      </c>
      <c r="B36" s="9" t="s">
        <v>151</v>
      </c>
      <c r="C36" s="10">
        <v>43385</v>
      </c>
      <c r="D36" s="11">
        <v>128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163</v>
      </c>
      <c r="J36" s="12" t="s">
        <v>164</v>
      </c>
      <c r="K36" s="13" t="s">
        <v>165</v>
      </c>
      <c r="L36" s="11" t="str">
        <f>"000013"</f>
        <v>000013</v>
      </c>
      <c r="M36" s="10">
        <v>43158</v>
      </c>
      <c r="N36" s="11" t="str">
        <f>"000037"</f>
        <v>000037</v>
      </c>
      <c r="O36" s="10">
        <v>43360</v>
      </c>
      <c r="P36" s="11" t="str">
        <f>"000153"</f>
        <v>000153</v>
      </c>
      <c r="Q36" s="10">
        <v>43361</v>
      </c>
      <c r="R36" s="11">
        <v>18</v>
      </c>
      <c r="S36" s="11" t="str">
        <f>"008317"</f>
        <v>008317</v>
      </c>
      <c r="T36" s="10">
        <v>43461</v>
      </c>
      <c r="U36" s="14">
        <v>42.05</v>
      </c>
      <c r="V36" s="14">
        <v>1.881</v>
      </c>
      <c r="W36" s="14">
        <v>40.168999999999997</v>
      </c>
      <c r="X36" s="11">
        <v>232</v>
      </c>
      <c r="Y36" s="10">
        <v>43385</v>
      </c>
      <c r="Z36" s="11">
        <v>9886078454</v>
      </c>
      <c r="AA36" s="12" t="s">
        <v>166</v>
      </c>
      <c r="AB36" s="11" t="s">
        <v>42</v>
      </c>
      <c r="AC36" s="12" t="s">
        <v>43</v>
      </c>
      <c r="AD36" s="11" t="s">
        <v>167</v>
      </c>
      <c r="AE36" s="12" t="s">
        <v>168</v>
      </c>
      <c r="AF36" s="14">
        <f t="shared" si="0"/>
        <v>0.42049999999999998</v>
      </c>
      <c r="AG36" s="11" t="s">
        <v>87</v>
      </c>
    </row>
    <row r="37" spans="1:33" x14ac:dyDescent="0.2">
      <c r="A37" s="8">
        <v>8169</v>
      </c>
      <c r="B37" s="9" t="s">
        <v>169</v>
      </c>
      <c r="C37" s="10">
        <v>43466</v>
      </c>
      <c r="D37" s="11">
        <v>128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163</v>
      </c>
      <c r="J37" s="12" t="s">
        <v>164</v>
      </c>
      <c r="K37" s="13" t="s">
        <v>165</v>
      </c>
      <c r="L37" s="11" t="str">
        <f>"000013"</f>
        <v>000013</v>
      </c>
      <c r="M37" s="10">
        <v>43158</v>
      </c>
      <c r="N37" s="11" t="str">
        <f>"000037"</f>
        <v>000037</v>
      </c>
      <c r="O37" s="10">
        <v>43360</v>
      </c>
      <c r="P37" s="11" t="str">
        <f>"000153"</f>
        <v>000153</v>
      </c>
      <c r="Q37" s="10">
        <v>43361</v>
      </c>
      <c r="R37" s="11"/>
      <c r="S37" s="11" t="str">
        <f>"008317"</f>
        <v>008317</v>
      </c>
      <c r="T37" s="10">
        <v>43461</v>
      </c>
      <c r="U37" s="14">
        <v>0.9</v>
      </c>
      <c r="V37" s="14">
        <v>0.09</v>
      </c>
      <c r="W37" s="14">
        <v>0.81</v>
      </c>
      <c r="X37" s="11">
        <v>308</v>
      </c>
      <c r="Y37" s="10">
        <v>43466</v>
      </c>
      <c r="Z37" s="11">
        <v>8867660554</v>
      </c>
      <c r="AA37" s="12" t="s">
        <v>170</v>
      </c>
      <c r="AB37" s="11" t="s">
        <v>42</v>
      </c>
      <c r="AC37" s="12" t="s">
        <v>43</v>
      </c>
      <c r="AD37" s="11" t="s">
        <v>167</v>
      </c>
      <c r="AE37" s="12" t="s">
        <v>168</v>
      </c>
      <c r="AF37" s="14">
        <f t="shared" si="0"/>
        <v>9.0000000000000011E-3</v>
      </c>
      <c r="AG37" s="11" t="s">
        <v>87</v>
      </c>
    </row>
    <row r="38" spans="1:33" x14ac:dyDescent="0.2">
      <c r="A38" s="8">
        <v>8524</v>
      </c>
      <c r="B38" s="9" t="s">
        <v>169</v>
      </c>
      <c r="C38" s="10">
        <v>43475</v>
      </c>
      <c r="D38" s="11">
        <v>128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171</v>
      </c>
      <c r="J38" s="12" t="s">
        <v>172</v>
      </c>
      <c r="K38" s="13" t="s">
        <v>75</v>
      </c>
      <c r="L38" s="11" t="str">
        <f>"000081"</f>
        <v>000081</v>
      </c>
      <c r="M38" s="10">
        <v>43074</v>
      </c>
      <c r="N38" s="11" t="str">
        <f>"000045"</f>
        <v>000045</v>
      </c>
      <c r="O38" s="10">
        <v>43074</v>
      </c>
      <c r="P38" s="11" t="str">
        <f>"000101"</f>
        <v>000101</v>
      </c>
      <c r="Q38" s="10">
        <v>43076</v>
      </c>
      <c r="R38" s="11"/>
      <c r="S38" s="11" t="str">
        <f>"008148"</f>
        <v>008148</v>
      </c>
      <c r="T38" s="10">
        <v>43455</v>
      </c>
      <c r="U38" s="14">
        <v>19.982299999999999</v>
      </c>
      <c r="V38" s="14">
        <v>2.2389999999999999</v>
      </c>
      <c r="W38" s="14">
        <v>17.743300000000001</v>
      </c>
      <c r="X38" s="11">
        <v>320</v>
      </c>
      <c r="Y38" s="10">
        <v>43475</v>
      </c>
      <c r="Z38" s="11">
        <v>9900000000</v>
      </c>
      <c r="AA38" s="12" t="s">
        <v>113</v>
      </c>
      <c r="AB38" s="11" t="s">
        <v>77</v>
      </c>
      <c r="AC38" s="12" t="s">
        <v>78</v>
      </c>
      <c r="AD38" s="11" t="s">
        <v>44</v>
      </c>
      <c r="AE38" s="12" t="s">
        <v>45</v>
      </c>
      <c r="AF38" s="14">
        <f t="shared" si="0"/>
        <v>0.19982299999999997</v>
      </c>
      <c r="AG38" s="11" t="s">
        <v>46</v>
      </c>
    </row>
    <row r="39" spans="1:33" x14ac:dyDescent="0.2">
      <c r="A39" s="8">
        <v>8639</v>
      </c>
      <c r="B39" s="9" t="s">
        <v>169</v>
      </c>
      <c r="C39" s="10">
        <v>43483</v>
      </c>
      <c r="D39" s="11">
        <v>128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173</v>
      </c>
      <c r="J39" s="12" t="s">
        <v>174</v>
      </c>
      <c r="K39" s="13" t="s">
        <v>83</v>
      </c>
      <c r="L39" s="11" t="str">
        <f>"000068"</f>
        <v>000068</v>
      </c>
      <c r="M39" s="10">
        <v>43389</v>
      </c>
      <c r="N39" s="11" t="str">
        <f>"000172"</f>
        <v>000172</v>
      </c>
      <c r="O39" s="10">
        <v>43458</v>
      </c>
      <c r="P39" s="11" t="str">
        <f>"000170"</f>
        <v>000170</v>
      </c>
      <c r="Q39" s="10">
        <v>43458</v>
      </c>
      <c r="R39" s="11"/>
      <c r="S39" s="11" t="str">
        <f>"008781"</f>
        <v>008781</v>
      </c>
      <c r="T39" s="10">
        <v>43483</v>
      </c>
      <c r="U39" s="14">
        <v>24.766690000000001</v>
      </c>
      <c r="V39" s="14">
        <v>3.0675300000000001</v>
      </c>
      <c r="W39" s="14">
        <v>21.699159999999999</v>
      </c>
      <c r="X39" s="11">
        <v>327</v>
      </c>
      <c r="Y39" s="10">
        <v>43483</v>
      </c>
      <c r="Z39" s="11">
        <v>9448016630</v>
      </c>
      <c r="AA39" s="12" t="s">
        <v>134</v>
      </c>
      <c r="AB39" s="11" t="s">
        <v>175</v>
      </c>
      <c r="AC39" s="12" t="s">
        <v>176</v>
      </c>
      <c r="AD39" s="11" t="s">
        <v>70</v>
      </c>
      <c r="AE39" s="12" t="s">
        <v>71</v>
      </c>
      <c r="AF39" s="14">
        <f t="shared" si="0"/>
        <v>0.2476669</v>
      </c>
      <c r="AG39" s="11" t="s">
        <v>135</v>
      </c>
    </row>
    <row r="40" spans="1:33" x14ac:dyDescent="0.2">
      <c r="A40" s="8">
        <v>8640</v>
      </c>
      <c r="B40" s="9" t="s">
        <v>169</v>
      </c>
      <c r="C40" s="10">
        <v>43483</v>
      </c>
      <c r="D40" s="11">
        <v>128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177</v>
      </c>
      <c r="J40" s="12" t="s">
        <v>178</v>
      </c>
      <c r="K40" s="13" t="s">
        <v>83</v>
      </c>
      <c r="L40" s="11" t="str">
        <f>"000067"</f>
        <v>000067</v>
      </c>
      <c r="M40" s="10">
        <v>43389</v>
      </c>
      <c r="N40" s="11" t="str">
        <f>"000173"</f>
        <v>000173</v>
      </c>
      <c r="O40" s="10">
        <v>43458</v>
      </c>
      <c r="P40" s="11" t="str">
        <f>"000169"</f>
        <v>000169</v>
      </c>
      <c r="Q40" s="10">
        <v>43458</v>
      </c>
      <c r="R40" s="11"/>
      <c r="S40" s="11" t="str">
        <f>"008782"</f>
        <v>008782</v>
      </c>
      <c r="T40" s="10">
        <v>43483</v>
      </c>
      <c r="U40" s="14">
        <v>24.770019999999999</v>
      </c>
      <c r="V40" s="14">
        <v>3.0701900000000002</v>
      </c>
      <c r="W40" s="14">
        <v>21.699829999999999</v>
      </c>
      <c r="X40" s="11">
        <v>327</v>
      </c>
      <c r="Y40" s="10">
        <v>43483</v>
      </c>
      <c r="Z40" s="11">
        <v>9448016630</v>
      </c>
      <c r="AA40" s="12" t="s">
        <v>134</v>
      </c>
      <c r="AB40" s="11" t="s">
        <v>175</v>
      </c>
      <c r="AC40" s="12" t="s">
        <v>176</v>
      </c>
      <c r="AD40" s="11" t="s">
        <v>70</v>
      </c>
      <c r="AE40" s="12" t="s">
        <v>71</v>
      </c>
      <c r="AF40" s="14">
        <f t="shared" si="0"/>
        <v>0.24770019999999998</v>
      </c>
      <c r="AG40" s="11" t="s">
        <v>135</v>
      </c>
    </row>
    <row r="41" spans="1:33" x14ac:dyDescent="0.2">
      <c r="A41" s="8">
        <v>8641</v>
      </c>
      <c r="B41" s="9" t="s">
        <v>169</v>
      </c>
      <c r="C41" s="10">
        <v>43483</v>
      </c>
      <c r="D41" s="11">
        <v>128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179</v>
      </c>
      <c r="J41" s="12" t="s">
        <v>180</v>
      </c>
      <c r="K41" s="13" t="s">
        <v>83</v>
      </c>
      <c r="L41" s="11" t="str">
        <f>"000069"</f>
        <v>000069</v>
      </c>
      <c r="M41" s="10">
        <v>43389</v>
      </c>
      <c r="N41" s="11" t="str">
        <f>"000174"</f>
        <v>000174</v>
      </c>
      <c r="O41" s="10">
        <v>43458</v>
      </c>
      <c r="P41" s="11" t="str">
        <f>"000171"</f>
        <v>000171</v>
      </c>
      <c r="Q41" s="10">
        <v>43458</v>
      </c>
      <c r="R41" s="11"/>
      <c r="S41" s="11" t="str">
        <f>"008783"</f>
        <v>008783</v>
      </c>
      <c r="T41" s="10">
        <v>43483</v>
      </c>
      <c r="U41" s="14">
        <v>24.773140000000001</v>
      </c>
      <c r="V41" s="14">
        <v>3.0703399999999998</v>
      </c>
      <c r="W41" s="14">
        <v>21.7028</v>
      </c>
      <c r="X41" s="11">
        <v>327</v>
      </c>
      <c r="Y41" s="10">
        <v>43483</v>
      </c>
      <c r="Z41" s="11">
        <v>9448016630</v>
      </c>
      <c r="AA41" s="12" t="s">
        <v>134</v>
      </c>
      <c r="AB41" s="11" t="s">
        <v>175</v>
      </c>
      <c r="AC41" s="12" t="s">
        <v>176</v>
      </c>
      <c r="AD41" s="11" t="s">
        <v>70</v>
      </c>
      <c r="AE41" s="12" t="s">
        <v>71</v>
      </c>
      <c r="AF41" s="14">
        <f t="shared" si="0"/>
        <v>0.24773140000000002</v>
      </c>
      <c r="AG41" s="11" t="s">
        <v>135</v>
      </c>
    </row>
    <row r="42" spans="1:33" x14ac:dyDescent="0.2">
      <c r="A42" s="8">
        <v>8642</v>
      </c>
      <c r="B42" s="9" t="s">
        <v>169</v>
      </c>
      <c r="C42" s="10">
        <v>43483</v>
      </c>
      <c r="D42" s="11">
        <v>128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181</v>
      </c>
      <c r="J42" s="12" t="s">
        <v>182</v>
      </c>
      <c r="K42" s="13" t="s">
        <v>83</v>
      </c>
      <c r="L42" s="11" t="str">
        <f>"000070"</f>
        <v>000070</v>
      </c>
      <c r="M42" s="10">
        <v>43389</v>
      </c>
      <c r="N42" s="11" t="str">
        <f>"000175"</f>
        <v>000175</v>
      </c>
      <c r="O42" s="10">
        <v>43458</v>
      </c>
      <c r="P42" s="11" t="str">
        <f>"000172"</f>
        <v>000172</v>
      </c>
      <c r="Q42" s="10">
        <v>43458</v>
      </c>
      <c r="R42" s="11"/>
      <c r="S42" s="11" t="str">
        <f>"008784"</f>
        <v>008784</v>
      </c>
      <c r="T42" s="10">
        <v>43483</v>
      </c>
      <c r="U42" s="14">
        <v>29.721270000000001</v>
      </c>
      <c r="V42" s="14">
        <v>3.6821000000000002</v>
      </c>
      <c r="W42" s="14">
        <v>26.039169999999999</v>
      </c>
      <c r="X42" s="11">
        <v>327</v>
      </c>
      <c r="Y42" s="10">
        <v>43483</v>
      </c>
      <c r="Z42" s="11">
        <v>9448016630</v>
      </c>
      <c r="AA42" s="12" t="s">
        <v>134</v>
      </c>
      <c r="AB42" s="11" t="s">
        <v>175</v>
      </c>
      <c r="AC42" s="12" t="s">
        <v>176</v>
      </c>
      <c r="AD42" s="11" t="s">
        <v>70</v>
      </c>
      <c r="AE42" s="12" t="s">
        <v>71</v>
      </c>
      <c r="AF42" s="14">
        <f t="shared" si="0"/>
        <v>0.2972127</v>
      </c>
      <c r="AG42" s="11" t="s">
        <v>135</v>
      </c>
    </row>
    <row r="43" spans="1:33" x14ac:dyDescent="0.2">
      <c r="A43" s="8">
        <v>8929</v>
      </c>
      <c r="B43" s="9" t="s">
        <v>183</v>
      </c>
      <c r="C43" s="10">
        <v>43500</v>
      </c>
      <c r="D43" s="11">
        <v>128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184</v>
      </c>
      <c r="J43" s="12" t="s">
        <v>185</v>
      </c>
      <c r="K43" s="13" t="s">
        <v>186</v>
      </c>
      <c r="L43" s="11" t="str">
        <f>"000084"</f>
        <v>000084</v>
      </c>
      <c r="M43" s="10">
        <v>43403</v>
      </c>
      <c r="N43" s="11" t="str">
        <f>"000178"</f>
        <v>000178</v>
      </c>
      <c r="O43" s="10">
        <v>43461</v>
      </c>
      <c r="P43" s="11" t="str">
        <f>"000176"</f>
        <v>000176</v>
      </c>
      <c r="Q43" s="10">
        <v>43461</v>
      </c>
      <c r="R43" s="11"/>
      <c r="S43" s="11" t="str">
        <f>"008683"</f>
        <v>008683</v>
      </c>
      <c r="T43" s="10">
        <v>43475</v>
      </c>
      <c r="U43" s="14">
        <v>0.96670999999999996</v>
      </c>
      <c r="V43" s="14">
        <v>0.12225999999999999</v>
      </c>
      <c r="W43" s="14">
        <v>0.84445000000000003</v>
      </c>
      <c r="X43" s="11">
        <v>338</v>
      </c>
      <c r="Y43" s="10">
        <v>43500</v>
      </c>
      <c r="Z43" s="11">
        <v>9964168913</v>
      </c>
      <c r="AA43" s="12" t="s">
        <v>187</v>
      </c>
      <c r="AB43" s="11" t="s">
        <v>42</v>
      </c>
      <c r="AC43" s="12" t="s">
        <v>43</v>
      </c>
      <c r="AD43" s="11" t="s">
        <v>70</v>
      </c>
      <c r="AE43" s="12" t="s">
        <v>71</v>
      </c>
      <c r="AF43" s="14">
        <f t="shared" si="0"/>
        <v>9.6670999999999997E-3</v>
      </c>
      <c r="AG43" s="11" t="s">
        <v>135</v>
      </c>
    </row>
    <row r="44" spans="1:33" x14ac:dyDescent="0.2">
      <c r="A44" s="8">
        <v>9167</v>
      </c>
      <c r="B44" s="9" t="s">
        <v>183</v>
      </c>
      <c r="C44" s="10">
        <v>43509</v>
      </c>
      <c r="D44" s="11">
        <v>128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188</v>
      </c>
      <c r="J44" s="12" t="s">
        <v>189</v>
      </c>
      <c r="K44" s="13" t="s">
        <v>83</v>
      </c>
      <c r="L44" s="11" t="str">
        <f>"000071"</f>
        <v>000071</v>
      </c>
      <c r="M44" s="10">
        <v>43389</v>
      </c>
      <c r="N44" s="11" t="str">
        <f>"000171"</f>
        <v>000171</v>
      </c>
      <c r="O44" s="10">
        <v>43458</v>
      </c>
      <c r="P44" s="11" t="str">
        <f>"000173"</f>
        <v>000173</v>
      </c>
      <c r="Q44" s="10">
        <v>43458</v>
      </c>
      <c r="R44" s="11"/>
      <c r="S44" s="11" t="str">
        <f>"009219"</f>
        <v>009219</v>
      </c>
      <c r="T44" s="10">
        <v>43508</v>
      </c>
      <c r="U44" s="14">
        <v>19.814910000000001</v>
      </c>
      <c r="V44" s="14">
        <v>2.4581</v>
      </c>
      <c r="W44" s="14">
        <v>17.356809999999999</v>
      </c>
      <c r="X44" s="11">
        <v>350</v>
      </c>
      <c r="Y44" s="10">
        <v>43509</v>
      </c>
      <c r="Z44" s="11">
        <v>9448016630</v>
      </c>
      <c r="AA44" s="12" t="s">
        <v>134</v>
      </c>
      <c r="AB44" s="11" t="s">
        <v>190</v>
      </c>
      <c r="AC44" s="12" t="s">
        <v>191</v>
      </c>
      <c r="AD44" s="11" t="s">
        <v>70</v>
      </c>
      <c r="AE44" s="12" t="s">
        <v>71</v>
      </c>
      <c r="AF44" s="14">
        <f t="shared" si="0"/>
        <v>0.19814910000000002</v>
      </c>
      <c r="AG44" s="11" t="s">
        <v>135</v>
      </c>
    </row>
    <row r="45" spans="1:33" x14ac:dyDescent="0.2">
      <c r="A45" s="8">
        <v>9882</v>
      </c>
      <c r="B45" s="9" t="s">
        <v>192</v>
      </c>
      <c r="C45" s="10">
        <v>43550</v>
      </c>
      <c r="D45" s="11">
        <v>128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193</v>
      </c>
      <c r="J45" s="12" t="s">
        <v>194</v>
      </c>
      <c r="K45" s="13" t="s">
        <v>83</v>
      </c>
      <c r="L45" s="11" t="str">
        <f>"000097"</f>
        <v>000097</v>
      </c>
      <c r="M45" s="10">
        <v>43428</v>
      </c>
      <c r="N45" s="11" t="str">
        <f>"000265"</f>
        <v>000265</v>
      </c>
      <c r="O45" s="10">
        <v>43535</v>
      </c>
      <c r="P45" s="11" t="str">
        <f>"000263"</f>
        <v>000263</v>
      </c>
      <c r="Q45" s="10">
        <v>43535</v>
      </c>
      <c r="R45" s="11"/>
      <c r="S45" s="11" t="str">
        <f>"009971"</f>
        <v>009971</v>
      </c>
      <c r="T45" s="10">
        <v>43550</v>
      </c>
      <c r="U45" s="14">
        <v>60.816809999999997</v>
      </c>
      <c r="V45" s="14">
        <v>7.53261</v>
      </c>
      <c r="W45" s="14">
        <v>53.284199999999998</v>
      </c>
      <c r="X45" s="11">
        <v>386</v>
      </c>
      <c r="Y45" s="10">
        <v>43550</v>
      </c>
      <c r="Z45" s="11">
        <v>9945535033</v>
      </c>
      <c r="AA45" s="12" t="s">
        <v>162</v>
      </c>
      <c r="AB45" s="11" t="s">
        <v>175</v>
      </c>
      <c r="AC45" s="12" t="s">
        <v>176</v>
      </c>
      <c r="AD45" s="11" t="s">
        <v>70</v>
      </c>
      <c r="AE45" s="12" t="s">
        <v>71</v>
      </c>
      <c r="AF45" s="14">
        <f t="shared" si="0"/>
        <v>0.60816809999999999</v>
      </c>
      <c r="AG45" s="11" t="s">
        <v>135</v>
      </c>
    </row>
    <row r="46" spans="1:33" x14ac:dyDescent="0.2">
      <c r="A46" s="8">
        <v>10112</v>
      </c>
      <c r="B46" s="9" t="s">
        <v>192</v>
      </c>
      <c r="C46" s="10">
        <v>43552</v>
      </c>
      <c r="D46" s="11">
        <v>128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195</v>
      </c>
      <c r="J46" s="12" t="s">
        <v>196</v>
      </c>
      <c r="K46" s="13" t="s">
        <v>75</v>
      </c>
      <c r="L46" s="11" t="str">
        <f>"000024"</f>
        <v>000024</v>
      </c>
      <c r="M46" s="10">
        <v>42955</v>
      </c>
      <c r="N46" s="11" t="str">
        <f>"000038"</f>
        <v>000038</v>
      </c>
      <c r="O46" s="10">
        <v>43018</v>
      </c>
      <c r="P46" s="11" t="str">
        <f>"000068"</f>
        <v>000068</v>
      </c>
      <c r="Q46" s="10">
        <v>43018</v>
      </c>
      <c r="R46" s="11"/>
      <c r="S46" s="11" t="str">
        <f>"010147"</f>
        <v>010147</v>
      </c>
      <c r="T46" s="10">
        <v>43552</v>
      </c>
      <c r="U46" s="14">
        <v>9.9707399999999993</v>
      </c>
      <c r="V46" s="14">
        <v>1.4560200000000001</v>
      </c>
      <c r="W46" s="14">
        <v>8.5147200000000005</v>
      </c>
      <c r="X46" s="11">
        <v>392</v>
      </c>
      <c r="Y46" s="10">
        <v>43552</v>
      </c>
      <c r="Z46" s="11">
        <v>9900333498</v>
      </c>
      <c r="AA46" s="12" t="s">
        <v>197</v>
      </c>
      <c r="AB46" s="11" t="s">
        <v>93</v>
      </c>
      <c r="AC46" s="12" t="s">
        <v>94</v>
      </c>
      <c r="AD46" s="11" t="s">
        <v>70</v>
      </c>
      <c r="AE46" s="12" t="s">
        <v>71</v>
      </c>
      <c r="AF46" s="14">
        <f t="shared" si="0"/>
        <v>9.9707399999999988E-2</v>
      </c>
      <c r="AG46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2019-06-13T11:51:48Z</dcterms:modified>
</cp:coreProperties>
</file>