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60" i="1" l="1"/>
  <c r="S60" i="1"/>
  <c r="P60" i="1"/>
  <c r="N60" i="1"/>
  <c r="L60" i="1"/>
  <c r="AF59" i="1"/>
  <c r="S59" i="1"/>
  <c r="P59" i="1"/>
  <c r="N59" i="1"/>
  <c r="L59" i="1"/>
  <c r="AF58" i="1"/>
  <c r="S58" i="1"/>
  <c r="P58" i="1"/>
  <c r="N58" i="1"/>
  <c r="L58" i="1"/>
  <c r="AF57" i="1"/>
  <c r="S57" i="1"/>
  <c r="P57" i="1"/>
  <c r="N57" i="1"/>
  <c r="L57" i="1"/>
  <c r="AF56" i="1"/>
  <c r="S56" i="1"/>
  <c r="P56" i="1"/>
  <c r="N56" i="1"/>
  <c r="L56" i="1"/>
  <c r="AF55" i="1"/>
  <c r="S55" i="1"/>
  <c r="P55" i="1"/>
  <c r="N55" i="1"/>
  <c r="L55" i="1"/>
  <c r="AF54" i="1"/>
  <c r="S54" i="1"/>
  <c r="P54" i="1"/>
  <c r="N54" i="1"/>
  <c r="L54" i="1"/>
  <c r="AF53" i="1"/>
  <c r="S53" i="1"/>
  <c r="P53" i="1"/>
  <c r="N53" i="1"/>
  <c r="L53" i="1"/>
  <c r="AF52" i="1"/>
  <c r="S52" i="1"/>
  <c r="P52" i="1"/>
  <c r="N52" i="1"/>
  <c r="L52" i="1"/>
  <c r="AF51" i="1"/>
  <c r="S51" i="1"/>
  <c r="P51" i="1"/>
  <c r="N51" i="1"/>
  <c r="L51" i="1"/>
  <c r="AF50" i="1"/>
  <c r="S50" i="1"/>
  <c r="P50" i="1"/>
  <c r="N50" i="1"/>
  <c r="L50" i="1"/>
  <c r="AF49" i="1"/>
  <c r="S49" i="1"/>
  <c r="P49" i="1"/>
  <c r="N49" i="1"/>
  <c r="L49" i="1"/>
  <c r="AF48" i="1"/>
  <c r="S48" i="1"/>
  <c r="P48" i="1"/>
  <c r="N48" i="1"/>
  <c r="L48" i="1"/>
  <c r="AF47" i="1"/>
  <c r="S47" i="1"/>
  <c r="P47" i="1"/>
  <c r="N47" i="1"/>
  <c r="L47" i="1"/>
  <c r="AF46" i="1"/>
  <c r="S46" i="1"/>
  <c r="P46" i="1"/>
  <c r="N46" i="1"/>
  <c r="L46" i="1"/>
  <c r="AF45" i="1"/>
  <c r="S45" i="1"/>
  <c r="P45" i="1"/>
  <c r="N45" i="1"/>
  <c r="L45" i="1"/>
  <c r="AF44" i="1"/>
  <c r="S44" i="1"/>
  <c r="P44" i="1"/>
  <c r="N44" i="1"/>
  <c r="L44" i="1"/>
  <c r="AF43" i="1"/>
  <c r="S43" i="1"/>
  <c r="P43" i="1"/>
  <c r="N43" i="1"/>
  <c r="L43" i="1"/>
  <c r="AF42" i="1"/>
  <c r="S42" i="1"/>
  <c r="P42" i="1"/>
  <c r="N42" i="1"/>
  <c r="L42" i="1"/>
  <c r="AF41" i="1"/>
  <c r="S41" i="1"/>
  <c r="P41" i="1"/>
  <c r="N41" i="1"/>
  <c r="L41" i="1"/>
  <c r="AF40" i="1"/>
  <c r="S40" i="1"/>
  <c r="P40" i="1"/>
  <c r="N40" i="1"/>
  <c r="L40" i="1"/>
  <c r="AF39" i="1"/>
  <c r="S39" i="1"/>
  <c r="P39" i="1"/>
  <c r="N39" i="1"/>
  <c r="L39" i="1"/>
  <c r="AF38" i="1"/>
  <c r="S38" i="1"/>
  <c r="P38" i="1"/>
  <c r="N38" i="1"/>
  <c r="L38" i="1"/>
  <c r="AF37" i="1"/>
  <c r="S37" i="1"/>
  <c r="P37" i="1"/>
  <c r="N37" i="1"/>
  <c r="L37" i="1"/>
  <c r="AF36" i="1"/>
  <c r="S36" i="1"/>
  <c r="P36" i="1"/>
  <c r="N36" i="1"/>
  <c r="L36" i="1"/>
  <c r="AF35" i="1"/>
  <c r="S35" i="1"/>
  <c r="P35" i="1"/>
  <c r="N35" i="1"/>
  <c r="L35" i="1"/>
  <c r="AF34" i="1"/>
  <c r="S34" i="1"/>
  <c r="P34" i="1"/>
  <c r="N34" i="1"/>
  <c r="L34" i="1"/>
  <c r="S33" i="1"/>
  <c r="P33" i="1"/>
  <c r="N33" i="1"/>
  <c r="L33" i="1"/>
  <c r="S32" i="1"/>
  <c r="P32" i="1"/>
  <c r="N32" i="1"/>
  <c r="L32" i="1"/>
  <c r="S31" i="1"/>
  <c r="P31" i="1"/>
  <c r="N31" i="1"/>
  <c r="L31" i="1"/>
  <c r="S30" i="1"/>
  <c r="P30" i="1"/>
  <c r="N30" i="1"/>
  <c r="L30" i="1"/>
  <c r="S29" i="1"/>
  <c r="P29" i="1"/>
  <c r="N29" i="1"/>
  <c r="L29" i="1"/>
  <c r="S28" i="1"/>
  <c r="P28" i="1"/>
  <c r="N28" i="1"/>
  <c r="L28" i="1"/>
  <c r="S27" i="1"/>
  <c r="P27" i="1"/>
  <c r="N27" i="1"/>
  <c r="L27" i="1"/>
  <c r="S26" i="1"/>
  <c r="P26" i="1"/>
  <c r="N26" i="1"/>
  <c r="L26" i="1"/>
  <c r="S25" i="1"/>
  <c r="P25" i="1"/>
  <c r="N25" i="1"/>
  <c r="L25" i="1"/>
  <c r="S24" i="1"/>
  <c r="P24" i="1"/>
  <c r="N24" i="1"/>
  <c r="L24" i="1"/>
  <c r="S23" i="1"/>
  <c r="P23" i="1"/>
  <c r="N23" i="1"/>
  <c r="L23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<sst xmlns="http://schemas.openxmlformats.org/spreadsheetml/2006/main" count="859" uniqueCount="239">
  <si>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</si>
  <si>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</si>
  <si>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</si>
  <si>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</si>
  <si>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</si>
  <si>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</si>
  <si>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</si>
  <si>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</si>
  <si>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</si>
  <si>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</si>
  <si>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</si>
  <si>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</si>
  <si>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</si>
  <si>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</si>
  <si>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</si>
  <si>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</si>
  <si>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</si>
  <si>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</si>
  <si>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</si>
  <si>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</si>
  <si>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</si>
  <si>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</si>
  <si>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</si>
  <si>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</si>
  <si>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</si>
  <si>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</si>
  <si>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</si>
  <si>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</si>
  <si>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</si>
  <si>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</si>
  <si>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</si>
  <si>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</si>
  <si>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</si>
  <si>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</si>
  <si>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Mallasandra</t>
  </si>
  <si>
    <t>Shetty Halli</t>
  </si>
  <si>
    <t>Dasara Halli</t>
  </si>
  <si>
    <t>013-18-000045</t>
  </si>
  <si>
    <t>Improvements building and civil works at mallasandra colony school in Mallasandra ward no 13</t>
  </si>
  <si>
    <t>Other Ward Works</t>
  </si>
  <si>
    <t>KRIDL</t>
  </si>
  <si>
    <t>P1878</t>
  </si>
  <si>
    <t>18per - Works (Bhagyajyothi, Sooru / Neeru Yojane and General) (54 Lakhs / New Wards)</t>
  </si>
  <si>
    <t>ddo464</t>
  </si>
  <si>
    <t xml:space="preserve"> Assistant Executive Engineer Project - 1 Dasarahalli Zone</t>
  </si>
  <si>
    <t>Pending</t>
  </si>
  <si>
    <t>May</t>
  </si>
  <si>
    <t>013-18-000021</t>
  </si>
  <si>
    <t>Additional works to Yoga center (Phase-2) at Survey No 33 Mallasandra in Ward No 13</t>
  </si>
  <si>
    <t xml:space="preserve">The Technical Manager,  KRIDL, </t>
  </si>
  <si>
    <t>P3111</t>
  </si>
  <si>
    <t>State Finance Commission Untied Grant Works</t>
  </si>
  <si>
    <t>Spill Over</t>
  </si>
  <si>
    <t>013-18-000022</t>
  </si>
  <si>
    <t>Additional works to Indoor game building (Phase-2) at Survey No 33 Mallasandra in Ward No 13</t>
  </si>
  <si>
    <t xml:space="preserve">The Technical Manager, KRIDL, </t>
  </si>
  <si>
    <t>013-16-000002</t>
  </si>
  <si>
    <t>Providing pothole filling at ward no. 13, Shettyhalli sub division.</t>
  </si>
  <si>
    <t>Roads &amp; Drivablility</t>
  </si>
  <si>
    <t>G N Ramesh</t>
  </si>
  <si>
    <t>P1771</t>
  </si>
  <si>
    <t>Zone Works - POW Works</t>
  </si>
  <si>
    <t>ddo462</t>
  </si>
  <si>
    <t xml:space="preserve"> Assistant Executive Engineer Shettihalli Dasarahalli Zone</t>
  </si>
  <si>
    <t>June</t>
  </si>
  <si>
    <t>013-14-000033</t>
  </si>
  <si>
    <t>Drilling of 7 numbers Borewell and Fixing of pump motor and necessary accessoris at Ravindra Nagara, Kalyananagara, Mallasandra Colony, BHEL Mini Colony, Prashanthnagara Different Locations, in Ward No. 13 in Shettyhalli sub division.</t>
  </si>
  <si>
    <t>Water &amp; Sanitary</t>
  </si>
  <si>
    <t>P1802</t>
  </si>
  <si>
    <t>Water Supply New Areas</t>
  </si>
  <si>
    <t>013-17-000012</t>
  </si>
  <si>
    <t>Construction of RCC drains in Near Old Junjappa Temple Surrounding area and other road Mallasandra in ward no 13 Shettihalli Sub-Division</t>
  </si>
  <si>
    <t>Footpaths &amp; Walkability</t>
  </si>
  <si>
    <t>M//s KRIDL</t>
  </si>
  <si>
    <t>P2415</t>
  </si>
  <si>
    <t>Reserve fund for TandF Committee</t>
  </si>
  <si>
    <t>013-17-000011</t>
  </si>
  <si>
    <t>Construction of RCC Drains in Kodava Samaja Surrounding area and other road in ward no 13 Shettihalli Sub-Division</t>
  </si>
  <si>
    <t>013-17-000010</t>
  </si>
  <si>
    <t>Improvements of CC Roads and RCC Drainst at Bylappa Circle 9th A and B cross 1st and 2nd cross back side to Muthurayaswamy temple Roads and other roads in ward no 13 in Shettihalli Sub-Division</t>
  </si>
  <si>
    <t>013-17-000009</t>
  </si>
  <si>
    <t>Improvements of CC Roads and RCC Drains at 8th and 9th Cross and other Roads near pipeline road in Ward no 13 in Shettihalli Sub-Division</t>
  </si>
  <si>
    <t>013-17-000002</t>
  </si>
  <si>
    <t>Construction of R.C.C drains at BHEL Mini Colony balance roads and 1st 2nd 3rd 4th 5th cross near Huccharangiah House all either (2) sides, in ward no 13</t>
  </si>
  <si>
    <t>P0190</t>
  </si>
  <si>
    <t>Works sanctioned by Hon Mayor</t>
  </si>
  <si>
    <t>013-17-000014</t>
  </si>
  <si>
    <t xml:space="preserve">Improvements of CC roads and RCC drains at Lake side Avenue defence colony and Shanthi layout and other roads in ward no 13 </t>
  </si>
  <si>
    <t>013-17-000013</t>
  </si>
  <si>
    <t xml:space="preserve">Improvements of CC roads and RCC drains at Muneshwara temple back side Ideal School and other roads in ward no 13 </t>
  </si>
  <si>
    <t>013-16-000012</t>
  </si>
  <si>
    <t>Repairs to culverts and drains in ward No. 13, Shettyhalli sub division.</t>
  </si>
  <si>
    <t>H. C.UMESA</t>
  </si>
  <si>
    <t>013-17-000004</t>
  </si>
  <si>
    <t>Construction of R.C.C drains in Pipeline road and other roads and pipe line road either (2) sides, and 17th cross, bHEL Mini colony 1 side Shettyhalli Sub division in ward no 13</t>
  </si>
  <si>
    <t>013-17-000003</t>
  </si>
  <si>
    <t>Construction of RCC drains near Ashwathakatte surrounding area roads and 4th A,B,C,D,E cross all either sides Shettihalli sub-Division in ward no 13</t>
  </si>
  <si>
    <t>013-17-000001</t>
  </si>
  <si>
    <t>Construction of R.C.C drains at Kalyana Nagara balance roads and 5th 6th cross 2 (Either) side, near Rajanna Bakery side, 1st main, 1st A cross either side, 2nd A and B cross 1 side attached to Dasarahalli main road Shettihalli Sub-Division</t>
  </si>
  <si>
    <t>July</t>
  </si>
  <si>
    <t>013-16-000039</t>
  </si>
  <si>
    <t>Construction of RCC drain in Adjusted to Dasarahalli road and cross at Kalyana Nagar in ward no 13</t>
  </si>
  <si>
    <t>013-18-000059</t>
  </si>
  <si>
    <t xml:space="preserve">Improvements UGD line in ward No. 13, Mallasandra. </t>
  </si>
  <si>
    <t>P3295</t>
  </si>
  <si>
    <t>14th Finance Commission Works - UGD Works</t>
  </si>
  <si>
    <t>013-16-000037</t>
  </si>
  <si>
    <t>Improvements and Asphalting to main and cross roads at Panchamuki Ganesha Temple road and Atilakkamma temple Opp. roads in ward no 13 Shettyhalli Sub Division</t>
  </si>
  <si>
    <t>TN LAKSHMANAGOWDA</t>
  </si>
  <si>
    <t>P3089</t>
  </si>
  <si>
    <t>Special Development works in 7 CMC and 1 TMC area in BBMP</t>
  </si>
  <si>
    <t>013-18-000048</t>
  </si>
  <si>
    <t>Improvements roads and drains near Mallikarjuna temple Pks colony in Mallasandra ward no.13 Shettyhalli Sub division</t>
  </si>
  <si>
    <t>P2652</t>
  </si>
  <si>
    <t>Contribution to Community Benefits</t>
  </si>
  <si>
    <t>013-18-000047</t>
  </si>
  <si>
    <t>Improvements to CC road and RCC drains in Mallasandra colony in Mallasandra ward no 13 Shettyhalli sub division</t>
  </si>
  <si>
    <t>013-18-000050</t>
  </si>
  <si>
    <t>Improvements to roads and footpath pipeline road at Malllasandra colony in Mallasandra ward no 13 Shettyhalli sub division</t>
  </si>
  <si>
    <t>013-17-000005</t>
  </si>
  <si>
    <t>Leveling and Lowering the ground at Mallasandra Quarry at Sy No. 33 in ward no 13 Mallasandra Project Sub Division Dasarahalli Zone</t>
  </si>
  <si>
    <t>P0001</t>
  </si>
  <si>
    <t>Acquisition of Land for Road Widening, Waste Disposal Site and Others</t>
  </si>
  <si>
    <t>013-18-000061</t>
  </si>
  <si>
    <t>Providing and Improvement Drinking Water facilities in ward no 13 Mallasandra</t>
  </si>
  <si>
    <t>Drinking Water</t>
  </si>
  <si>
    <t>P3293</t>
  </si>
  <si>
    <t>14th Finance Commission Works - Drinking Water</t>
  </si>
  <si>
    <t>013-16-000001</t>
  </si>
  <si>
    <t>Operation and Maintenance of stree light at Ward No.13 Mallasandra Package D-3</t>
  </si>
  <si>
    <t>M.P.ELECTRICALS</t>
  </si>
  <si>
    <t>P0300</t>
  </si>
  <si>
    <t>M and R to Street Lights - Replacement of Burnt Bulbs etc. (Package)</t>
  </si>
  <si>
    <t>ddo466</t>
  </si>
  <si>
    <t xml:space="preserve"> Assistant Executive Engineer Electrical Dasarahalli Zone</t>
  </si>
  <si>
    <t>August</t>
  </si>
  <si>
    <t>013-16-000036</t>
  </si>
  <si>
    <t>Improvements to main and cross roads at Ayimatha Temple road in ward no 13 Shettyhalli Sub Division</t>
  </si>
  <si>
    <t>G ASHWATHAPPA</t>
  </si>
  <si>
    <t>013-17-000008</t>
  </si>
  <si>
    <t>Construction of RCC Dran in Basaveshwara Roads 5th D Cross two Side and other roads in ward no 13 in Shettihalli Sub-Division</t>
  </si>
  <si>
    <t>013-17-000017</t>
  </si>
  <si>
    <t>Improvements to CC roads to Ravindranagar slum and other roads in ward No. 13 shettyhalli sub division.</t>
  </si>
  <si>
    <t>P3071</t>
  </si>
  <si>
    <t>Development of Backward regions of Muncipal area under BBMP limits</t>
  </si>
  <si>
    <t>013-17-000016</t>
  </si>
  <si>
    <t>Improvements to CC roads to Mallasandra slum and other roads in ward No. 13 shettyhalli sub division.</t>
  </si>
  <si>
    <t>013-17-000037</t>
  </si>
  <si>
    <t>Improvement works at Dog Kennel at Sy No. 51 Mallasandra in ward no 13 of Project Sub Division Dasarahalli Zone</t>
  </si>
  <si>
    <t xml:space="preserve">KRIDL,        </t>
  </si>
  <si>
    <t>013-18-000051</t>
  </si>
  <si>
    <t>Improvements to CC roads and RCC drains Dhobighat surrounding ares Pks colony in Mallasandra ward no.13 Shettyhalli Sub division</t>
  </si>
  <si>
    <t>September</t>
  </si>
  <si>
    <t>013-17-000006</t>
  </si>
  <si>
    <t>Providing Fencing to balance Porction of Mallasandra Quarry Sy. No 33 in ward no 13 Mallasandra Project Sub Division Dasarahalli Zone</t>
  </si>
  <si>
    <t>P0607</t>
  </si>
  <si>
    <t>Fencing of BBMP Properties (Other than gardens, parks)</t>
  </si>
  <si>
    <t>013-17-000026</t>
  </si>
  <si>
    <t>Establishment of RO Plant near Mutthuraya swamy temple prashanth Nagar in Mallasandra in ward no 13 in Shettyhalli sub div</t>
  </si>
  <si>
    <t>SANKAR REDDY K</t>
  </si>
  <si>
    <t>013-17-000025</t>
  </si>
  <si>
    <t>Establishment of RO Plant near Govt school Mallasandra in Mallasandra in ward no 13 in Shettyhalli sub div</t>
  </si>
  <si>
    <t>013-17-000018</t>
  </si>
  <si>
    <t>Construction of retaining wall and other development work to Proposed playground at Mallasandra, Ward No. 13</t>
  </si>
  <si>
    <t>P0088</t>
  </si>
  <si>
    <t>Maintenance and Management of Parks on Contract</t>
  </si>
  <si>
    <t>013-17-000015</t>
  </si>
  <si>
    <t>Development of Dhobighat in ward no 13</t>
  </si>
  <si>
    <t>P1806</t>
  </si>
  <si>
    <t>Development of Dhobighat in New Zones</t>
  </si>
  <si>
    <t>October</t>
  </si>
  <si>
    <t>013-17-000029</t>
  </si>
  <si>
    <t>Improvments of RCC Drains 22nd cross near pipeline road BHEL mini colony in Mallasandra in ward no 13 in Shettyhalli sub div</t>
  </si>
  <si>
    <t>BHARATH KUMAR V</t>
  </si>
  <si>
    <t>013-17-000028</t>
  </si>
  <si>
    <t>Improvments of RCC Drains 21th cross near pipeline road BHEL mini colony in Mallasandra in ward no 13 in Shettyhalli sub div</t>
  </si>
  <si>
    <t>013-18-000078</t>
  </si>
  <si>
    <t xml:space="preserve">Construction of RCC culvert and U Shape drain for secondary SWD in Mallsandra Ward No.13 </t>
  </si>
  <si>
    <t>Storm Water Drains</t>
  </si>
  <si>
    <t>M/s KVK Contructions Pro K Prakash Babu</t>
  </si>
  <si>
    <t>P3106</t>
  </si>
  <si>
    <t>Nagarothana Works</t>
  </si>
  <si>
    <t>ddo313</t>
  </si>
  <si>
    <t xml:space="preserve"> Chief Engineer SWD Central Zone</t>
  </si>
  <si>
    <t>Current</t>
  </si>
  <si>
    <t>December</t>
  </si>
  <si>
    <t>013-17-000080</t>
  </si>
  <si>
    <t>Engagement of Gangman and Hiring of Troctor Tippers for cleaning and maintenance of road side drains and other civil works in ward 13</t>
  </si>
  <si>
    <t>Eregowda S M</t>
  </si>
  <si>
    <t>P3110</t>
  </si>
  <si>
    <t>14th Finance Commission Grant Works</t>
  </si>
  <si>
    <t>013-18-000020</t>
  </si>
  <si>
    <t>Providing water supply facilities in ward No 13 Shettyhalli Sub division</t>
  </si>
  <si>
    <t>February</t>
  </si>
  <si>
    <t>013-16-000035</t>
  </si>
  <si>
    <t>Improvements and Asphalting to main and cross roads at Opp to Mallasandra Govt school and Pipeline road in ward no 13 Shettyhalli Sub Division</t>
  </si>
  <si>
    <t>NITHIN R</t>
  </si>
  <si>
    <t>013-17-000069</t>
  </si>
  <si>
    <t>Construction of RCC Drains and CC Roads at 3rd Main and Adjacent Cross Roads in Ravindra Nagar Ward No.13</t>
  </si>
  <si>
    <t>P2178</t>
  </si>
  <si>
    <t>Works sanctioned by Dy. Mayor</t>
  </si>
  <si>
    <t>013-17-000020</t>
  </si>
  <si>
    <t>Construction of Anganavadi at near Mallikarjuna temple in ward no 13 in Shettyhalli Sub division</t>
  </si>
  <si>
    <t>VENKATESHAPPA</t>
  </si>
  <si>
    <t>March</t>
  </si>
  <si>
    <t>013-17-000027</t>
  </si>
  <si>
    <t>Improvments of RCC Drains 18th cross near pipeline road BHEL mini colony in ward no 13 in Shettyhalli sub div</t>
  </si>
  <si>
    <t>HEMANTH KUMAR SE</t>
  </si>
  <si>
    <t>013-17-000054</t>
  </si>
  <si>
    <t>Improvements Of CC Roads in 5th,6th Cross and Anjaneya Temple Surrounding Area in Mallasandra Ward No.13 Shettyhalli Sub-Division</t>
  </si>
  <si>
    <t>013-17-000060</t>
  </si>
  <si>
    <t>Construction of RCC Drains and CC Roads At Ashwathkatte Surrounding Area Mallasandra in Ward no.13 Shettyhalli Sub Division</t>
  </si>
  <si>
    <t>013-17-000064</t>
  </si>
  <si>
    <t>Improvements to CC Roads at 6th 7th 8th and 9th cross 2nd main to 3rd main and other roads Ravindra Nagar in ward no 13 Mallasandra</t>
  </si>
  <si>
    <t>013-17-000083</t>
  </si>
  <si>
    <t>Improvements to CC Roads in Dasarahalli Adjacent Main roads in ward no 13 in Shettyhalli Sub-Division</t>
  </si>
  <si>
    <t>013-18-000241</t>
  </si>
  <si>
    <t xml:space="preserve">Providing SS railing and MS gate for Indira Canteen at Pipeline road in ward no.13 </t>
  </si>
  <si>
    <t>Indira Canteen</t>
  </si>
  <si>
    <t xml:space="preserve">B.J Kumar </t>
  </si>
  <si>
    <t>013-18-000240</t>
  </si>
  <si>
    <t xml:space="preserve">Providing and laying of tiles for pathway and laying of kerb stones to pathe way to indira canteen at pipe line road in ward no.13 </t>
  </si>
  <si>
    <t>B.J Kumar</t>
  </si>
  <si>
    <t>013-17-000053</t>
  </si>
  <si>
    <t>Improvements to RCC drains and CC roads at Mallasandra in ward no 13 Mallasandra Shettyhalli Sub Division</t>
  </si>
  <si>
    <t>013-17-000035</t>
  </si>
  <si>
    <t>Repairs of Culvarts in ward no 13 in Shettyhalli sub div</t>
  </si>
  <si>
    <t>N SHIVANANDA</t>
  </si>
  <si>
    <t>013-17-000061</t>
  </si>
  <si>
    <t>Construction Of RCC Drains And CC Roads At Pipeline Attached Road Mallasandra in Ward no.13 Shettyhalli sub Division</t>
  </si>
  <si>
    <t>013-17-000084</t>
  </si>
  <si>
    <t>Improvments to Footpath and Culverts work in ward no 13 in Shettyhalli Sub-Division</t>
  </si>
  <si>
    <t>013-17-000058</t>
  </si>
  <si>
    <t>Improvements to Asphalting At Prashanth Nagar and Kalyana Nagar In Ward No.13 Mallasandra Shettyhalli Sub Division</t>
  </si>
  <si>
    <t>307-15-000039</t>
  </si>
  <si>
    <t xml:space="preserve"> Excavating of Accumulated earth in SWD (DH 142) Mallasandara tank to Shettihalli tank.Ward No.13 Mallasandra </t>
  </si>
  <si>
    <t>Smt.Jayamma w/o Suresh M H</t>
  </si>
  <si>
    <t>P2351</t>
  </si>
  <si>
    <t>Remodelling of Hebbala Valley (Non Jnnurm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</si>
</sst>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0"/>
  <sheetViews>
    <sheetView tabSelected="1" workbookViewId="0">
      <pane ySplit="1" topLeftCell="A2" activePane="bottomLeft" state="frozen"/>
      <selection activeCell="H1" sqref="H1"/>
      <selection pane="bottomLeft" activeCell="C8" sqref="C8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687</v>
      </c>
      <c r="B2" s="9" t="s">
        <v>33</v>
      </c>
      <c r="C2" s="10">
        <v>43216</v>
      </c>
      <c r="D2" s="11">
        <v>13</v>
      </c>
      <c r="E2" s="12" t="s">
        <v>34</v>
      </c>
      <c r="F2" s="12" t="s">
        <v>35</v>
      </c>
      <c r="G2" s="12" t="s">
        <v>36</v>
      </c>
      <c r="H2" s="12" t="s">
        <v>36</v>
      </c>
      <c r="I2" s="11" t="s">
        <v>37</v>
      </c>
      <c r="J2" s="12" t="s">
        <v>38</v>
      </c>
      <c r="K2" s="13" t="s">
        <v>39</v>
      </c>
      <c r="L2" s="11" t="str">
        <f>"000008"</f>
        <v>000008</v>
      </c>
      <c r="M2" s="10">
        <v>43072</v>
      </c>
      <c r="N2" s="11" t="str">
        <f>"000002"</f>
        <v>000002</v>
      </c>
      <c r="O2" s="10">
        <v>43182</v>
      </c>
      <c r="P2" s="11" t="str">
        <f>"000002"</f>
        <v>000002</v>
      </c>
      <c r="Q2" s="10">
        <v>43186</v>
      </c>
      <c r="R2" s="11">
        <v>18</v>
      </c>
      <c r="S2" s="11" t="str">
        <f>"000628"</f>
        <v>000628</v>
      </c>
      <c r="T2" s="10">
        <v>43214</v>
      </c>
      <c r="U2" s="14">
        <v>29.990580000000001</v>
      </c>
      <c r="V2" s="14">
        <v>2.7291400000000001</v>
      </c>
      <c r="W2" s="14">
        <v>27.26144</v>
      </c>
      <c r="X2" s="11">
        <v>25</v>
      </c>
      <c r="Y2" s="10">
        <v>43216</v>
      </c>
      <c r="Z2" s="11">
        <v>8970389692</v>
      </c>
      <c r="AA2" s="12" t="s">
        <v>40</v>
      </c>
      <c r="AB2" s="11" t="s">
        <v>41</v>
      </c>
      <c r="AC2" s="12" t="s">
        <v>42</v>
      </c>
      <c r="AD2" s="11" t="s">
        <v>43</v>
      </c>
      <c r="AE2" s="12" t="s">
        <v>44</v>
      </c>
      <c r="AF2" s="14">
        <v>0.2999058</v>
      </c>
      <c r="AG2" s="11" t="s">
        <v>45</v>
      </c>
    </row>
    <row r="3" spans="1:33" x14ac:dyDescent="0.2">
      <c r="A3" s="8">
        <v>1285</v>
      </c>
      <c r="B3" s="9" t="s">
        <v>46</v>
      </c>
      <c r="C3" s="10">
        <v>43241</v>
      </c>
      <c r="D3" s="11">
        <v>13</v>
      </c>
      <c r="E3" s="12" t="s">
        <v>34</v>
      </c>
      <c r="F3" s="12" t="s">
        <v>35</v>
      </c>
      <c r="G3" s="12" t="s">
        <v>36</v>
      </c>
      <c r="H3" s="12" t="s">
        <v>36</v>
      </c>
      <c r="I3" s="11" t="s">
        <v>47</v>
      </c>
      <c r="J3" s="12" t="s">
        <v>48</v>
      </c>
      <c r="K3" s="13" t="s">
        <v>39</v>
      </c>
      <c r="L3" s="11" t="str">
        <f>"000043"</f>
        <v>000043</v>
      </c>
      <c r="M3" s="10">
        <v>43168</v>
      </c>
      <c r="N3" s="11" t="str">
        <f>"000001"</f>
        <v>000001</v>
      </c>
      <c r="O3" s="10">
        <v>43215</v>
      </c>
      <c r="P3" s="11" t="str">
        <f>"000002"</f>
        <v>000002</v>
      </c>
      <c r="Q3" s="10">
        <v>43215</v>
      </c>
      <c r="R3" s="11">
        <v>18</v>
      </c>
      <c r="S3" s="11" t="str">
        <f>"001504"</f>
        <v>001504</v>
      </c>
      <c r="T3" s="10">
        <v>43237</v>
      </c>
      <c r="U3" s="14">
        <v>29.889500000000002</v>
      </c>
      <c r="V3" s="14">
        <v>2.70228</v>
      </c>
      <c r="W3" s="14">
        <v>27.18722</v>
      </c>
      <c r="X3" s="11">
        <v>54</v>
      </c>
      <c r="Y3" s="10">
        <v>43241</v>
      </c>
      <c r="Z3" s="11">
        <v>9448121090</v>
      </c>
      <c r="AA3" s="12" t="s">
        <v>49</v>
      </c>
      <c r="AB3" s="11" t="s">
        <v>50</v>
      </c>
      <c r="AC3" s="12" t="s">
        <v>51</v>
      </c>
      <c r="AD3" s="11" t="s">
        <v>43</v>
      </c>
      <c r="AE3" s="12" t="s">
        <v>44</v>
      </c>
      <c r="AF3" s="14">
        <v>0.29889500000000002</v>
      </c>
      <c r="AG3" s="11" t="s">
        <v>52</v>
      </c>
    </row>
    <row r="4" spans="1:33" x14ac:dyDescent="0.2">
      <c r="A4" s="8">
        <v>1286</v>
      </c>
      <c r="B4" s="9" t="s">
        <v>46</v>
      </c>
      <c r="C4" s="10">
        <v>43241</v>
      </c>
      <c r="D4" s="11">
        <v>13</v>
      </c>
      <c r="E4" s="12" t="s">
        <v>34</v>
      </c>
      <c r="F4" s="12" t="s">
        <v>35</v>
      </c>
      <c r="G4" s="12" t="s">
        <v>36</v>
      </c>
      <c r="H4" s="12" t="s">
        <v>36</v>
      </c>
      <c r="I4" s="11" t="s">
        <v>53</v>
      </c>
      <c r="J4" s="12" t="s">
        <v>54</v>
      </c>
      <c r="K4" s="13" t="s">
        <v>39</v>
      </c>
      <c r="L4" s="11" t="str">
        <f>"000044"</f>
        <v>000044</v>
      </c>
      <c r="M4" s="10">
        <v>43168</v>
      </c>
      <c r="N4" s="11" t="str">
        <f>"000002"</f>
        <v>000002</v>
      </c>
      <c r="O4" s="10">
        <v>43215</v>
      </c>
      <c r="P4" s="11" t="str">
        <f>"000003"</f>
        <v>000003</v>
      </c>
      <c r="Q4" s="10">
        <v>43215</v>
      </c>
      <c r="R4" s="11">
        <v>18</v>
      </c>
      <c r="S4" s="11" t="str">
        <f>"001505"</f>
        <v>001505</v>
      </c>
      <c r="T4" s="10">
        <v>43237</v>
      </c>
      <c r="U4" s="14">
        <v>29.844059999999999</v>
      </c>
      <c r="V4" s="14">
        <v>2.6985800000000002</v>
      </c>
      <c r="W4" s="14">
        <v>27.145479999999999</v>
      </c>
      <c r="X4" s="11">
        <v>54</v>
      </c>
      <c r="Y4" s="10">
        <v>43241</v>
      </c>
      <c r="Z4" s="11">
        <v>9448121090</v>
      </c>
      <c r="AA4" s="12" t="s">
        <v>55</v>
      </c>
      <c r="AB4" s="11" t="s">
        <v>50</v>
      </c>
      <c r="AC4" s="12" t="s">
        <v>51</v>
      </c>
      <c r="AD4" s="11" t="s">
        <v>43</v>
      </c>
      <c r="AE4" s="12" t="s">
        <v>44</v>
      </c>
      <c r="AF4" s="14">
        <v>0.2984406</v>
      </c>
      <c r="AG4" s="11" t="s">
        <v>52</v>
      </c>
    </row>
    <row r="5" spans="1:33" x14ac:dyDescent="0.2">
      <c r="A5" s="8">
        <v>1487</v>
      </c>
      <c r="B5" s="9" t="s">
        <v>46</v>
      </c>
      <c r="C5" s="10">
        <v>43251</v>
      </c>
      <c r="D5" s="11">
        <v>13</v>
      </c>
      <c r="E5" s="12" t="s">
        <v>34</v>
      </c>
      <c r="F5" s="12" t="s">
        <v>35</v>
      </c>
      <c r="G5" s="12" t="s">
        <v>36</v>
      </c>
      <c r="H5" s="12" t="s">
        <v>36</v>
      </c>
      <c r="I5" s="11" t="s">
        <v>56</v>
      </c>
      <c r="J5" s="12" t="s">
        <v>57</v>
      </c>
      <c r="K5" s="13" t="s">
        <v>58</v>
      </c>
      <c r="L5" s="11" t="str">
        <f>"000083"</f>
        <v>000083</v>
      </c>
      <c r="M5" s="10">
        <v>42453</v>
      </c>
      <c r="N5" s="11" t="str">
        <f>"000058"</f>
        <v>000058</v>
      </c>
      <c r="O5" s="10">
        <v>42551</v>
      </c>
      <c r="P5" s="11" t="str">
        <f>"000212"</f>
        <v>000212</v>
      </c>
      <c r="Q5" s="10">
        <v>42551</v>
      </c>
      <c r="R5" s="11">
        <v>16</v>
      </c>
      <c r="S5" s="11" t="str">
        <f>"001929"</f>
        <v>001929</v>
      </c>
      <c r="T5" s="10">
        <v>43246</v>
      </c>
      <c r="U5" s="14">
        <v>4.73386</v>
      </c>
      <c r="V5" s="14">
        <v>0.35977999999999999</v>
      </c>
      <c r="W5" s="14">
        <v>4.3740800000000002</v>
      </c>
      <c r="X5" s="11">
        <v>67</v>
      </c>
      <c r="Y5" s="10">
        <v>43251</v>
      </c>
      <c r="Z5" s="11">
        <v>9845736688</v>
      </c>
      <c r="AA5" s="12" t="s">
        <v>59</v>
      </c>
      <c r="AB5" s="11" t="s">
        <v>60</v>
      </c>
      <c r="AC5" s="12" t="s">
        <v>61</v>
      </c>
      <c r="AD5" s="11" t="s">
        <v>62</v>
      </c>
      <c r="AE5" s="12" t="s">
        <v>63</v>
      </c>
      <c r="AF5" s="14">
        <v>4.7338600000000002E-2</v>
      </c>
      <c r="AG5" s="11" t="s">
        <v>45</v>
      </c>
    </row>
    <row r="6" spans="1:33" x14ac:dyDescent="0.2">
      <c r="A6" s="8">
        <v>1607</v>
      </c>
      <c r="B6" s="9" t="s">
        <v>64</v>
      </c>
      <c r="C6" s="10">
        <v>43252</v>
      </c>
      <c r="D6" s="11">
        <v>13</v>
      </c>
      <c r="E6" s="12" t="s">
        <v>34</v>
      </c>
      <c r="F6" s="12" t="s">
        <v>35</v>
      </c>
      <c r="G6" s="12" t="s">
        <v>36</v>
      </c>
      <c r="H6" s="12" t="s">
        <v>36</v>
      </c>
      <c r="I6" s="11" t="s">
        <v>65</v>
      </c>
      <c r="J6" s="12" t="s">
        <v>66</v>
      </c>
      <c r="K6" s="13" t="s">
        <v>67</v>
      </c>
      <c r="L6" s="11" t="str">
        <f>"000313"</f>
        <v>000313</v>
      </c>
      <c r="M6" s="10">
        <v>41702</v>
      </c>
      <c r="N6" s="11" t="str">
        <f>"000069"</f>
        <v>000069</v>
      </c>
      <c r="O6" s="10">
        <v>42154</v>
      </c>
      <c r="P6" s="11" t="str">
        <f>"000333"</f>
        <v>000333</v>
      </c>
      <c r="Q6" s="10">
        <v>42297</v>
      </c>
      <c r="R6" s="11">
        <v>14</v>
      </c>
      <c r="S6" s="11" t="str">
        <f>"002053"</f>
        <v>002053</v>
      </c>
      <c r="T6" s="10">
        <v>43249</v>
      </c>
      <c r="U6" s="14">
        <v>31.81691</v>
      </c>
      <c r="V6" s="14">
        <v>3.8918599999999999</v>
      </c>
      <c r="W6" s="14">
        <v>27.925049999999999</v>
      </c>
      <c r="X6" s="11">
        <v>63</v>
      </c>
      <c r="Y6" s="10">
        <v>43252</v>
      </c>
      <c r="Z6" s="11">
        <v>9886219099</v>
      </c>
      <c r="AA6" s="12" t="s">
        <v>40</v>
      </c>
      <c r="AB6" s="11" t="s">
        <v>68</v>
      </c>
      <c r="AC6" s="12" t="s">
        <v>69</v>
      </c>
      <c r="AD6" s="11" t="s">
        <v>62</v>
      </c>
      <c r="AE6" s="12" t="s">
        <v>63</v>
      </c>
      <c r="AF6" s="14">
        <v>0.31816909999999998</v>
      </c>
      <c r="AG6" s="11" t="s">
        <v>45</v>
      </c>
    </row>
    <row r="7" spans="1:33" x14ac:dyDescent="0.2">
      <c r="A7" s="8">
        <v>2464</v>
      </c>
      <c r="B7" s="9" t="s">
        <v>64</v>
      </c>
      <c r="C7" s="10">
        <v>43274</v>
      </c>
      <c r="D7" s="11">
        <v>13</v>
      </c>
      <c r="E7" s="12" t="s">
        <v>34</v>
      </c>
      <c r="F7" s="12" t="s">
        <v>35</v>
      </c>
      <c r="G7" s="12" t="s">
        <v>36</v>
      </c>
      <c r="H7" s="12" t="s">
        <v>36</v>
      </c>
      <c r="I7" s="11" t="s">
        <v>70</v>
      </c>
      <c r="J7" s="12" t="s">
        <v>71</v>
      </c>
      <c r="K7" s="13" t="s">
        <v>72</v>
      </c>
      <c r="L7" s="11" t="str">
        <f>"000065"</f>
        <v>000065</v>
      </c>
      <c r="M7" s="10">
        <v>42615</v>
      </c>
      <c r="N7" s="11" t="str">
        <f>"000119"</f>
        <v>000119</v>
      </c>
      <c r="O7" s="10">
        <v>42642</v>
      </c>
      <c r="P7" s="11" t="str">
        <f>"000461"</f>
        <v>000461</v>
      </c>
      <c r="Q7" s="10">
        <v>42669</v>
      </c>
      <c r="R7" s="11">
        <v>17</v>
      </c>
      <c r="S7" s="11" t="str">
        <f>"002759"</f>
        <v>002759</v>
      </c>
      <c r="T7" s="10">
        <v>43271</v>
      </c>
      <c r="U7" s="14">
        <v>48.975920000000002</v>
      </c>
      <c r="V7" s="14">
        <v>6.4117300000000004</v>
      </c>
      <c r="W7" s="14">
        <v>42.564190000000004</v>
      </c>
      <c r="X7" s="11">
        <v>99</v>
      </c>
      <c r="Y7" s="10">
        <v>43274</v>
      </c>
      <c r="Z7" s="11">
        <v>9876543454</v>
      </c>
      <c r="AA7" s="12" t="s">
        <v>73</v>
      </c>
      <c r="AB7" s="11" t="s">
        <v>74</v>
      </c>
      <c r="AC7" s="12" t="s">
        <v>75</v>
      </c>
      <c r="AD7" s="11" t="s">
        <v>62</v>
      </c>
      <c r="AE7" s="12" t="s">
        <v>63</v>
      </c>
      <c r="AF7" s="14">
        <v>0.48975920000000001</v>
      </c>
      <c r="AG7" s="11" t="s">
        <v>45</v>
      </c>
    </row>
    <row r="8" spans="1:33" x14ac:dyDescent="0.2">
      <c r="A8" s="8">
        <v>2465</v>
      </c>
      <c r="B8" s="9" t="s">
        <v>64</v>
      </c>
      <c r="C8" s="10">
        <v>43274</v>
      </c>
      <c r="D8" s="11">
        <v>13</v>
      </c>
      <c r="E8" s="12" t="s">
        <v>34</v>
      </c>
      <c r="F8" s="12" t="s">
        <v>35</v>
      </c>
      <c r="G8" s="12" t="s">
        <v>36</v>
      </c>
      <c r="H8" s="12" t="s">
        <v>36</v>
      </c>
      <c r="I8" s="11" t="s">
        <v>76</v>
      </c>
      <c r="J8" s="12" t="s">
        <v>77</v>
      </c>
      <c r="K8" s="13" t="s">
        <v>72</v>
      </c>
      <c r="L8" s="11" t="str">
        <f>"000064"</f>
        <v>000064</v>
      </c>
      <c r="M8" s="10">
        <v>42615</v>
      </c>
      <c r="N8" s="11" t="str">
        <f>"000126"</f>
        <v>000126</v>
      </c>
      <c r="O8" s="10">
        <v>42642</v>
      </c>
      <c r="P8" s="11" t="str">
        <f>"000462"</f>
        <v>000462</v>
      </c>
      <c r="Q8" s="10">
        <v>42669</v>
      </c>
      <c r="R8" s="11">
        <v>17</v>
      </c>
      <c r="S8" s="11" t="str">
        <f>"002760"</f>
        <v>002760</v>
      </c>
      <c r="T8" s="10">
        <v>43271</v>
      </c>
      <c r="U8" s="14">
        <v>49.368670000000002</v>
      </c>
      <c r="V8" s="14">
        <v>6.4492399999999996</v>
      </c>
      <c r="W8" s="14">
        <v>42.919429999999998</v>
      </c>
      <c r="X8" s="11">
        <v>99</v>
      </c>
      <c r="Y8" s="10">
        <v>43274</v>
      </c>
      <c r="Z8" s="11">
        <v>9876543434</v>
      </c>
      <c r="AA8" s="12" t="s">
        <v>73</v>
      </c>
      <c r="AB8" s="11" t="s">
        <v>74</v>
      </c>
      <c r="AC8" s="12" t="s">
        <v>75</v>
      </c>
      <c r="AD8" s="11" t="s">
        <v>62</v>
      </c>
      <c r="AE8" s="12" t="s">
        <v>63</v>
      </c>
      <c r="AF8" s="14">
        <v>0.49368670000000003</v>
      </c>
      <c r="AG8" s="11" t="s">
        <v>45</v>
      </c>
    </row>
    <row r="9" spans="1:33" x14ac:dyDescent="0.2">
      <c r="A9" s="8">
        <v>2466</v>
      </c>
      <c r="B9" s="9" t="s">
        <v>64</v>
      </c>
      <c r="C9" s="10">
        <v>43274</v>
      </c>
      <c r="D9" s="11">
        <v>13</v>
      </c>
      <c r="E9" s="12" t="s">
        <v>34</v>
      </c>
      <c r="F9" s="12" t="s">
        <v>35</v>
      </c>
      <c r="G9" s="12" t="s">
        <v>36</v>
      </c>
      <c r="H9" s="12" t="s">
        <v>36</v>
      </c>
      <c r="I9" s="11" t="s">
        <v>78</v>
      </c>
      <c r="J9" s="12" t="s">
        <v>79</v>
      </c>
      <c r="K9" s="13" t="s">
        <v>58</v>
      </c>
      <c r="L9" s="11" t="str">
        <f>"000063"</f>
        <v>000063</v>
      </c>
      <c r="M9" s="10">
        <v>42615</v>
      </c>
      <c r="N9" s="11" t="str">
        <f>"000125"</f>
        <v>000125</v>
      </c>
      <c r="O9" s="10">
        <v>42642</v>
      </c>
      <c r="P9" s="11" t="str">
        <f>"000463"</f>
        <v>000463</v>
      </c>
      <c r="Q9" s="10">
        <v>42669</v>
      </c>
      <c r="R9" s="11">
        <v>17</v>
      </c>
      <c r="S9" s="11" t="str">
        <f>"002761"</f>
        <v>002761</v>
      </c>
      <c r="T9" s="10">
        <v>43271</v>
      </c>
      <c r="U9" s="14">
        <v>49.267859999999999</v>
      </c>
      <c r="V9" s="14">
        <v>6.4370399999999997</v>
      </c>
      <c r="W9" s="14">
        <v>42.830820000000003</v>
      </c>
      <c r="X9" s="11">
        <v>99</v>
      </c>
      <c r="Y9" s="10">
        <v>43274</v>
      </c>
      <c r="Z9" s="11">
        <v>9878787654</v>
      </c>
      <c r="AA9" s="12" t="s">
        <v>73</v>
      </c>
      <c r="AB9" s="11" t="s">
        <v>74</v>
      </c>
      <c r="AC9" s="12" t="s">
        <v>75</v>
      </c>
      <c r="AD9" s="11" t="s">
        <v>62</v>
      </c>
      <c r="AE9" s="12" t="s">
        <v>63</v>
      </c>
      <c r="AF9" s="14">
        <v>0.49267859999999997</v>
      </c>
      <c r="AG9" s="11" t="s">
        <v>45</v>
      </c>
    </row>
    <row r="10" spans="1:33" x14ac:dyDescent="0.2">
      <c r="A10" s="8">
        <v>2467</v>
      </c>
      <c r="B10" s="9" t="s">
        <v>64</v>
      </c>
      <c r="C10" s="10">
        <v>43274</v>
      </c>
      <c r="D10" s="11">
        <v>13</v>
      </c>
      <c r="E10" s="12" t="s">
        <v>34</v>
      </c>
      <c r="F10" s="12" t="s">
        <v>35</v>
      </c>
      <c r="G10" s="12" t="s">
        <v>36</v>
      </c>
      <c r="H10" s="12" t="s">
        <v>36</v>
      </c>
      <c r="I10" s="11" t="s">
        <v>80</v>
      </c>
      <c r="J10" s="12" t="s">
        <v>81</v>
      </c>
      <c r="K10" s="13" t="s">
        <v>58</v>
      </c>
      <c r="L10" s="11" t="str">
        <f>"000062"</f>
        <v>000062</v>
      </c>
      <c r="M10" s="10">
        <v>42615</v>
      </c>
      <c r="N10" s="11" t="str">
        <f>"000122"</f>
        <v>000122</v>
      </c>
      <c r="O10" s="10">
        <v>42642</v>
      </c>
      <c r="P10" s="11" t="str">
        <f>""</f>
        <v/>
      </c>
      <c r="Q10" s="10"/>
      <c r="R10" s="11">
        <v>17</v>
      </c>
      <c r="S10" s="11" t="str">
        <f>""</f>
        <v/>
      </c>
      <c r="T10" s="10"/>
      <c r="U10" s="14">
        <v>48.997280000000003</v>
      </c>
      <c r="V10" s="14">
        <v>6.4043000000000001</v>
      </c>
      <c r="W10" s="14">
        <v>42.592979999999997</v>
      </c>
      <c r="X10" s="11">
        <v>99</v>
      </c>
      <c r="Y10" s="10">
        <v>43274</v>
      </c>
      <c r="Z10" s="11">
        <v>9889219009</v>
      </c>
      <c r="AA10" s="12" t="s">
        <v>40</v>
      </c>
      <c r="AB10" s="11" t="s">
        <v>74</v>
      </c>
      <c r="AC10" s="12" t="s">
        <v>75</v>
      </c>
      <c r="AD10" s="11" t="s">
        <v>62</v>
      </c>
      <c r="AE10" s="12" t="s">
        <v>63</v>
      </c>
      <c r="AF10" s="14">
        <v>0.48997280000000004</v>
      </c>
      <c r="AG10" s="11" t="s">
        <v>45</v>
      </c>
    </row>
    <row r="11" spans="1:33" x14ac:dyDescent="0.2">
      <c r="A11" s="8">
        <v>2468</v>
      </c>
      <c r="B11" s="9" t="s">
        <v>64</v>
      </c>
      <c r="C11" s="10">
        <v>43274</v>
      </c>
      <c r="D11" s="11">
        <v>13</v>
      </c>
      <c r="E11" s="12" t="s">
        <v>34</v>
      </c>
      <c r="F11" s="12" t="s">
        <v>35</v>
      </c>
      <c r="G11" s="12" t="s">
        <v>36</v>
      </c>
      <c r="H11" s="12" t="s">
        <v>36</v>
      </c>
      <c r="I11" s="11" t="s">
        <v>82</v>
      </c>
      <c r="J11" s="12" t="s">
        <v>83</v>
      </c>
      <c r="K11" s="13" t="s">
        <v>72</v>
      </c>
      <c r="L11" s="11" t="str">
        <f>"000057"</f>
        <v>000057</v>
      </c>
      <c r="M11" s="10">
        <v>42615</v>
      </c>
      <c r="N11" s="11" t="str">
        <f>"000118"</f>
        <v>000118</v>
      </c>
      <c r="O11" s="10">
        <v>42642</v>
      </c>
      <c r="P11" s="11" t="str">
        <f>"000473"</f>
        <v>000473</v>
      </c>
      <c r="Q11" s="10">
        <v>42669</v>
      </c>
      <c r="R11" s="11">
        <v>17</v>
      </c>
      <c r="S11" s="11" t="str">
        <f>"002768"</f>
        <v>002768</v>
      </c>
      <c r="T11" s="10">
        <v>43271</v>
      </c>
      <c r="U11" s="14">
        <v>48.341760000000001</v>
      </c>
      <c r="V11" s="14">
        <v>6.1926500000000004</v>
      </c>
      <c r="W11" s="14">
        <v>42.14911</v>
      </c>
      <c r="X11" s="11">
        <v>99</v>
      </c>
      <c r="Y11" s="10">
        <v>43274</v>
      </c>
      <c r="Z11" s="11">
        <v>9845875878</v>
      </c>
      <c r="AA11" s="12" t="s">
        <v>73</v>
      </c>
      <c r="AB11" s="11" t="s">
        <v>84</v>
      </c>
      <c r="AC11" s="12" t="s">
        <v>85</v>
      </c>
      <c r="AD11" s="11" t="s">
        <v>62</v>
      </c>
      <c r="AE11" s="12" t="s">
        <v>63</v>
      </c>
      <c r="AF11" s="14">
        <v>0.4834176</v>
      </c>
      <c r="AG11" s="11" t="s">
        <v>45</v>
      </c>
    </row>
    <row r="12" spans="1:33" x14ac:dyDescent="0.2">
      <c r="A12" s="8">
        <v>2469</v>
      </c>
      <c r="B12" s="9" t="s">
        <v>64</v>
      </c>
      <c r="C12" s="10">
        <v>43274</v>
      </c>
      <c r="D12" s="11">
        <v>13</v>
      </c>
      <c r="E12" s="12" t="s">
        <v>34</v>
      </c>
      <c r="F12" s="12" t="s">
        <v>35</v>
      </c>
      <c r="G12" s="12" t="s">
        <v>36</v>
      </c>
      <c r="H12" s="12" t="s">
        <v>36</v>
      </c>
      <c r="I12" s="11" t="s">
        <v>86</v>
      </c>
      <c r="J12" s="12" t="s">
        <v>87</v>
      </c>
      <c r="K12" s="13" t="s">
        <v>58</v>
      </c>
      <c r="L12" s="11" t="str">
        <f>"000061"</f>
        <v>000061</v>
      </c>
      <c r="M12" s="10">
        <v>42615</v>
      </c>
      <c r="N12" s="11" t="str">
        <f>"000124"</f>
        <v>000124</v>
      </c>
      <c r="O12" s="10">
        <v>42642</v>
      </c>
      <c r="P12" s="11" t="str">
        <f>"000480"</f>
        <v>000480</v>
      </c>
      <c r="Q12" s="10">
        <v>42669</v>
      </c>
      <c r="R12" s="11">
        <v>17</v>
      </c>
      <c r="S12" s="11" t="str">
        <f>"002771"</f>
        <v>002771</v>
      </c>
      <c r="T12" s="10">
        <v>43271</v>
      </c>
      <c r="U12" s="14">
        <v>48.014740000000003</v>
      </c>
      <c r="V12" s="14">
        <v>6.2892200000000003</v>
      </c>
      <c r="W12" s="14">
        <v>41.725520000000003</v>
      </c>
      <c r="X12" s="11">
        <v>99</v>
      </c>
      <c r="Y12" s="10">
        <v>43274</v>
      </c>
      <c r="Z12" s="11">
        <v>9987656565</v>
      </c>
      <c r="AA12" s="12" t="s">
        <v>73</v>
      </c>
      <c r="AB12" s="11" t="s">
        <v>84</v>
      </c>
      <c r="AC12" s="12" t="s">
        <v>85</v>
      </c>
      <c r="AD12" s="11" t="s">
        <v>62</v>
      </c>
      <c r="AE12" s="12" t="s">
        <v>63</v>
      </c>
      <c r="AF12" s="14">
        <v>0.48014740000000006</v>
      </c>
      <c r="AG12" s="11" t="s">
        <v>45</v>
      </c>
    </row>
    <row r="13" spans="1:33" x14ac:dyDescent="0.2">
      <c r="A13" s="8">
        <v>2470</v>
      </c>
      <c r="B13" s="9" t="s">
        <v>64</v>
      </c>
      <c r="C13" s="10">
        <v>43274</v>
      </c>
      <c r="D13" s="11">
        <v>13</v>
      </c>
      <c r="E13" s="12" t="s">
        <v>34</v>
      </c>
      <c r="F13" s="12" t="s">
        <v>35</v>
      </c>
      <c r="G13" s="12" t="s">
        <v>36</v>
      </c>
      <c r="H13" s="12" t="s">
        <v>36</v>
      </c>
      <c r="I13" s="11" t="s">
        <v>88</v>
      </c>
      <c r="J13" s="12" t="s">
        <v>89</v>
      </c>
      <c r="K13" s="13" t="s">
        <v>58</v>
      </c>
      <c r="L13" s="11" t="str">
        <f>"000060"</f>
        <v>000060</v>
      </c>
      <c r="M13" s="10">
        <v>42615</v>
      </c>
      <c r="N13" s="11" t="str">
        <f>"000121"</f>
        <v>000121</v>
      </c>
      <c r="O13" s="10">
        <v>42642</v>
      </c>
      <c r="P13" s="11" t="str">
        <f>"000481"</f>
        <v>000481</v>
      </c>
      <c r="Q13" s="10">
        <v>42669</v>
      </c>
      <c r="R13" s="11">
        <v>17</v>
      </c>
      <c r="S13" s="11" t="str">
        <f>"002772"</f>
        <v>002772</v>
      </c>
      <c r="T13" s="10">
        <v>43271</v>
      </c>
      <c r="U13" s="14">
        <v>48.094450000000002</v>
      </c>
      <c r="V13" s="14">
        <v>6.2988600000000003</v>
      </c>
      <c r="W13" s="14">
        <v>41.795589999999997</v>
      </c>
      <c r="X13" s="11">
        <v>99</v>
      </c>
      <c r="Y13" s="10">
        <v>43274</v>
      </c>
      <c r="Z13" s="11">
        <v>9876535465</v>
      </c>
      <c r="AA13" s="12" t="s">
        <v>73</v>
      </c>
      <c r="AB13" s="11" t="s">
        <v>84</v>
      </c>
      <c r="AC13" s="12" t="s">
        <v>85</v>
      </c>
      <c r="AD13" s="11" t="s">
        <v>62</v>
      </c>
      <c r="AE13" s="12" t="s">
        <v>63</v>
      </c>
      <c r="AF13" s="14">
        <v>0.4809445</v>
      </c>
      <c r="AG13" s="11" t="s">
        <v>45</v>
      </c>
    </row>
    <row r="14" spans="1:33" x14ac:dyDescent="0.2">
      <c r="A14" s="8">
        <v>2471</v>
      </c>
      <c r="B14" s="9" t="s">
        <v>64</v>
      </c>
      <c r="C14" s="10">
        <v>43274</v>
      </c>
      <c r="D14" s="11">
        <v>13</v>
      </c>
      <c r="E14" s="12" t="s">
        <v>34</v>
      </c>
      <c r="F14" s="12" t="s">
        <v>35</v>
      </c>
      <c r="G14" s="12" t="s">
        <v>36</v>
      </c>
      <c r="H14" s="12" t="s">
        <v>36</v>
      </c>
      <c r="I14" s="11" t="s">
        <v>90</v>
      </c>
      <c r="J14" s="12" t="s">
        <v>91</v>
      </c>
      <c r="K14" s="13" t="s">
        <v>72</v>
      </c>
      <c r="L14" s="11" t="str">
        <f>"000081"</f>
        <v>000081</v>
      </c>
      <c r="M14" s="10">
        <v>42453</v>
      </c>
      <c r="N14" s="11" t="str">
        <f>"000129"</f>
        <v>000129</v>
      </c>
      <c r="O14" s="10">
        <v>42668</v>
      </c>
      <c r="P14" s="11" t="str">
        <f>"000487"</f>
        <v>000487</v>
      </c>
      <c r="Q14" s="10">
        <v>42669</v>
      </c>
      <c r="R14" s="11">
        <v>16</v>
      </c>
      <c r="S14" s="11" t="str">
        <f>"002782"</f>
        <v>002782</v>
      </c>
      <c r="T14" s="10">
        <v>43271</v>
      </c>
      <c r="U14" s="14">
        <v>9.8221799999999995</v>
      </c>
      <c r="V14" s="14">
        <v>0.73580999999999996</v>
      </c>
      <c r="W14" s="14">
        <v>9.0863700000000005</v>
      </c>
      <c r="X14" s="11">
        <v>99</v>
      </c>
      <c r="Y14" s="10">
        <v>43274</v>
      </c>
      <c r="Z14" s="11">
        <v>9141667771</v>
      </c>
      <c r="AA14" s="12" t="s">
        <v>92</v>
      </c>
      <c r="AB14" s="11" t="s">
        <v>60</v>
      </c>
      <c r="AC14" s="12" t="s">
        <v>61</v>
      </c>
      <c r="AD14" s="11" t="s">
        <v>62</v>
      </c>
      <c r="AE14" s="12" t="s">
        <v>63</v>
      </c>
      <c r="AF14" s="14">
        <v>9.8221799999999998E-2</v>
      </c>
      <c r="AG14" s="11" t="s">
        <v>45</v>
      </c>
    </row>
    <row r="15" spans="1:33" x14ac:dyDescent="0.2">
      <c r="A15" s="8">
        <v>2680</v>
      </c>
      <c r="B15" s="9" t="s">
        <v>64</v>
      </c>
      <c r="C15" s="10">
        <v>43278</v>
      </c>
      <c r="D15" s="11">
        <v>13</v>
      </c>
      <c r="E15" s="12" t="s">
        <v>34</v>
      </c>
      <c r="F15" s="12" t="s">
        <v>35</v>
      </c>
      <c r="G15" s="12" t="s">
        <v>36</v>
      </c>
      <c r="H15" s="12" t="s">
        <v>36</v>
      </c>
      <c r="I15" s="11" t="s">
        <v>93</v>
      </c>
      <c r="J15" s="12" t="s">
        <v>94</v>
      </c>
      <c r="K15" s="13" t="s">
        <v>72</v>
      </c>
      <c r="L15" s="11" t="str">
        <f>"000059"</f>
        <v>000059</v>
      </c>
      <c r="M15" s="10">
        <v>42615</v>
      </c>
      <c r="N15" s="11" t="str">
        <f>"000112"</f>
        <v>000112</v>
      </c>
      <c r="O15" s="10">
        <v>42642</v>
      </c>
      <c r="P15" s="11" t="str">
        <f>"000472"</f>
        <v>000472</v>
      </c>
      <c r="Q15" s="10">
        <v>42669</v>
      </c>
      <c r="R15" s="11">
        <v>17</v>
      </c>
      <c r="S15" s="11" t="str">
        <f>"002900"</f>
        <v>002900</v>
      </c>
      <c r="T15" s="10">
        <v>43276</v>
      </c>
      <c r="U15" s="14">
        <v>48.279989999999998</v>
      </c>
      <c r="V15" s="14">
        <v>6.1524099999999997</v>
      </c>
      <c r="W15" s="14">
        <v>42.127580000000002</v>
      </c>
      <c r="X15" s="11">
        <v>103</v>
      </c>
      <c r="Y15" s="10">
        <v>43278</v>
      </c>
      <c r="Z15" s="11">
        <v>9876543456</v>
      </c>
      <c r="AA15" s="12" t="s">
        <v>73</v>
      </c>
      <c r="AB15" s="11" t="s">
        <v>84</v>
      </c>
      <c r="AC15" s="12" t="s">
        <v>85</v>
      </c>
      <c r="AD15" s="11" t="s">
        <v>62</v>
      </c>
      <c r="AE15" s="12" t="s">
        <v>63</v>
      </c>
      <c r="AF15" s="14">
        <v>0.4827999</v>
      </c>
      <c r="AG15" s="11" t="s">
        <v>45</v>
      </c>
    </row>
    <row r="16" spans="1:33" x14ac:dyDescent="0.2">
      <c r="A16" s="8">
        <v>2681</v>
      </c>
      <c r="B16" s="9" t="s">
        <v>64</v>
      </c>
      <c r="C16" s="10">
        <v>43278</v>
      </c>
      <c r="D16" s="11">
        <v>13</v>
      </c>
      <c r="E16" s="12" t="s">
        <v>34</v>
      </c>
      <c r="F16" s="12" t="s">
        <v>35</v>
      </c>
      <c r="G16" s="12" t="s">
        <v>36</v>
      </c>
      <c r="H16" s="12" t="s">
        <v>36</v>
      </c>
      <c r="I16" s="11" t="s">
        <v>95</v>
      </c>
      <c r="J16" s="12" t="s">
        <v>96</v>
      </c>
      <c r="K16" s="13" t="s">
        <v>72</v>
      </c>
      <c r="L16" s="11" t="str">
        <f>"000058"</f>
        <v>000058</v>
      </c>
      <c r="M16" s="10">
        <v>42615</v>
      </c>
      <c r="N16" s="11" t="str">
        <f>"000120"</f>
        <v>000120</v>
      </c>
      <c r="O16" s="10">
        <v>42642</v>
      </c>
      <c r="P16" s="11" t="str">
        <f>""</f>
        <v/>
      </c>
      <c r="Q16" s="10"/>
      <c r="R16" s="11">
        <v>17</v>
      </c>
      <c r="S16" s="11" t="str">
        <f>""</f>
        <v/>
      </c>
      <c r="T16" s="10"/>
      <c r="U16" s="14">
        <v>48.139209999999999</v>
      </c>
      <c r="V16" s="14">
        <v>6.3508399999999998</v>
      </c>
      <c r="W16" s="14">
        <v>41.78837</v>
      </c>
      <c r="X16" s="11">
        <v>103</v>
      </c>
      <c r="Y16" s="10">
        <v>43278</v>
      </c>
      <c r="Z16" s="11">
        <v>9889219009</v>
      </c>
      <c r="AA16" s="12" t="s">
        <v>40</v>
      </c>
      <c r="AB16" s="11" t="s">
        <v>84</v>
      </c>
      <c r="AC16" s="12" t="s">
        <v>85</v>
      </c>
      <c r="AD16" s="11" t="s">
        <v>62</v>
      </c>
      <c r="AE16" s="12" t="s">
        <v>63</v>
      </c>
      <c r="AF16" s="14">
        <v>0.48139209999999999</v>
      </c>
      <c r="AG16" s="11" t="s">
        <v>45</v>
      </c>
    </row>
    <row r="17" spans="1:33" x14ac:dyDescent="0.2">
      <c r="A17" s="8">
        <v>2682</v>
      </c>
      <c r="B17" s="9" t="s">
        <v>64</v>
      </c>
      <c r="C17" s="10">
        <v>43278</v>
      </c>
      <c r="D17" s="11">
        <v>13</v>
      </c>
      <c r="E17" s="12" t="s">
        <v>34</v>
      </c>
      <c r="F17" s="12" t="s">
        <v>35</v>
      </c>
      <c r="G17" s="12" t="s">
        <v>36</v>
      </c>
      <c r="H17" s="12" t="s">
        <v>36</v>
      </c>
      <c r="I17" s="11" t="s">
        <v>97</v>
      </c>
      <c r="J17" s="12" t="s">
        <v>98</v>
      </c>
      <c r="K17" s="13" t="s">
        <v>72</v>
      </c>
      <c r="L17" s="11" t="str">
        <f>"000056"</f>
        <v>000056</v>
      </c>
      <c r="M17" s="10">
        <v>42615</v>
      </c>
      <c r="N17" s="11" t="str">
        <f>"000123"</f>
        <v>000123</v>
      </c>
      <c r="O17" s="10">
        <v>42642</v>
      </c>
      <c r="P17" s="11" t="str">
        <f>"000479"</f>
        <v>000479</v>
      </c>
      <c r="Q17" s="10">
        <v>42669</v>
      </c>
      <c r="R17" s="11">
        <v>17</v>
      </c>
      <c r="S17" s="11" t="str">
        <f>"002913"</f>
        <v>002913</v>
      </c>
      <c r="T17" s="10">
        <v>43276</v>
      </c>
      <c r="U17" s="14">
        <v>48.066040000000001</v>
      </c>
      <c r="V17" s="14">
        <v>6.3665500000000002</v>
      </c>
      <c r="W17" s="14">
        <v>41.699489999999997</v>
      </c>
      <c r="X17" s="11">
        <v>103</v>
      </c>
      <c r="Y17" s="10">
        <v>43278</v>
      </c>
      <c r="Z17" s="11">
        <v>9986576554</v>
      </c>
      <c r="AA17" s="12" t="s">
        <v>73</v>
      </c>
      <c r="AB17" s="11" t="s">
        <v>84</v>
      </c>
      <c r="AC17" s="12" t="s">
        <v>85</v>
      </c>
      <c r="AD17" s="11" t="s">
        <v>62</v>
      </c>
      <c r="AE17" s="12" t="s">
        <v>63</v>
      </c>
      <c r="AF17" s="14">
        <v>0.48066039999999999</v>
      </c>
      <c r="AG17" s="11" t="s">
        <v>45</v>
      </c>
    </row>
    <row r="18" spans="1:33" x14ac:dyDescent="0.2">
      <c r="A18" s="8">
        <v>3028</v>
      </c>
      <c r="B18" s="9" t="s">
        <v>99</v>
      </c>
      <c r="C18" s="10">
        <v>43287</v>
      </c>
      <c r="D18" s="11">
        <v>13</v>
      </c>
      <c r="E18" s="12" t="s">
        <v>34</v>
      </c>
      <c r="F18" s="12" t="s">
        <v>35</v>
      </c>
      <c r="G18" s="12" t="s">
        <v>36</v>
      </c>
      <c r="H18" s="12" t="s">
        <v>36</v>
      </c>
      <c r="I18" s="11" t="s">
        <v>100</v>
      </c>
      <c r="J18" s="12" t="s">
        <v>101</v>
      </c>
      <c r="K18" s="13" t="s">
        <v>72</v>
      </c>
      <c r="L18" s="11" t="str">
        <f>"000025"</f>
        <v>000025</v>
      </c>
      <c r="M18" s="10">
        <v>42517</v>
      </c>
      <c r="N18" s="11" t="str">
        <f>"000106"</f>
        <v>000106</v>
      </c>
      <c r="O18" s="10">
        <v>42581</v>
      </c>
      <c r="P18" s="11" t="str">
        <f>"000334"</f>
        <v>000334</v>
      </c>
      <c r="Q18" s="10">
        <v>42581</v>
      </c>
      <c r="R18" s="11">
        <v>16</v>
      </c>
      <c r="S18" s="11" t="str">
        <f>"003317"</f>
        <v>003317</v>
      </c>
      <c r="T18" s="10">
        <v>43285</v>
      </c>
      <c r="U18" s="14">
        <v>49.02805</v>
      </c>
      <c r="V18" s="14">
        <v>6.5024499999999996</v>
      </c>
      <c r="W18" s="14">
        <v>42.525599999999997</v>
      </c>
      <c r="X18" s="11">
        <v>113</v>
      </c>
      <c r="Y18" s="10">
        <v>43287</v>
      </c>
      <c r="Z18" s="11">
        <v>9889219009</v>
      </c>
      <c r="AA18" s="12" t="s">
        <v>40</v>
      </c>
      <c r="AB18" s="11" t="s">
        <v>84</v>
      </c>
      <c r="AC18" s="12" t="s">
        <v>85</v>
      </c>
      <c r="AD18" s="11" t="s">
        <v>62</v>
      </c>
      <c r="AE18" s="12" t="s">
        <v>63</v>
      </c>
      <c r="AF18" s="14">
        <v>0.49028050000000001</v>
      </c>
      <c r="AG18" s="11" t="s">
        <v>45</v>
      </c>
    </row>
    <row r="19" spans="1:33" x14ac:dyDescent="0.2">
      <c r="A19" s="8">
        <v>3029</v>
      </c>
      <c r="B19" s="9" t="s">
        <v>99</v>
      </c>
      <c r="C19" s="10">
        <v>43287</v>
      </c>
      <c r="D19" s="11">
        <v>13</v>
      </c>
      <c r="E19" s="12" t="s">
        <v>34</v>
      </c>
      <c r="F19" s="12" t="s">
        <v>35</v>
      </c>
      <c r="G19" s="12" t="s">
        <v>36</v>
      </c>
      <c r="H19" s="12" t="s">
        <v>36</v>
      </c>
      <c r="I19" s="11" t="s">
        <v>102</v>
      </c>
      <c r="J19" s="12" t="s">
        <v>103</v>
      </c>
      <c r="K19" s="13" t="s">
        <v>67</v>
      </c>
      <c r="L19" s="11" t="str">
        <f>"000141"</f>
        <v>000141</v>
      </c>
      <c r="M19" s="10">
        <v>43090</v>
      </c>
      <c r="N19" s="11" t="str">
        <f>"000043"</f>
        <v>000043</v>
      </c>
      <c r="O19" s="10">
        <v>43130</v>
      </c>
      <c r="P19" s="11" t="str">
        <f>"000086"</f>
        <v>000086</v>
      </c>
      <c r="Q19" s="10">
        <v>43134</v>
      </c>
      <c r="R19" s="11">
        <v>18</v>
      </c>
      <c r="S19" s="11" t="str">
        <f>"003343"</f>
        <v>003343</v>
      </c>
      <c r="T19" s="10">
        <v>43286</v>
      </c>
      <c r="U19" s="14">
        <v>49.987009999999998</v>
      </c>
      <c r="V19" s="14">
        <v>4.5673300000000001</v>
      </c>
      <c r="W19" s="14">
        <v>45.41968</v>
      </c>
      <c r="X19" s="11">
        <v>114</v>
      </c>
      <c r="Y19" s="10">
        <v>43287</v>
      </c>
      <c r="Z19" s="11">
        <v>8105878312</v>
      </c>
      <c r="AA19" s="12" t="s">
        <v>40</v>
      </c>
      <c r="AB19" s="11" t="s">
        <v>104</v>
      </c>
      <c r="AC19" s="12" t="s">
        <v>105</v>
      </c>
      <c r="AD19" s="11" t="s">
        <v>62</v>
      </c>
      <c r="AE19" s="12" t="s">
        <v>63</v>
      </c>
      <c r="AF19" s="14">
        <v>0.49987009999999998</v>
      </c>
      <c r="AG19" s="11" t="s">
        <v>45</v>
      </c>
    </row>
    <row r="20" spans="1:33" x14ac:dyDescent="0.2">
      <c r="A20" s="8">
        <v>3268</v>
      </c>
      <c r="B20" s="9" t="s">
        <v>99</v>
      </c>
      <c r="C20" s="10">
        <v>43297</v>
      </c>
      <c r="D20" s="11">
        <v>13</v>
      </c>
      <c r="E20" s="12" t="s">
        <v>34</v>
      </c>
      <c r="F20" s="12" t="s">
        <v>35</v>
      </c>
      <c r="G20" s="12" t="s">
        <v>36</v>
      </c>
      <c r="H20" s="12" t="s">
        <v>36</v>
      </c>
      <c r="I20" s="11" t="s">
        <v>106</v>
      </c>
      <c r="J20" s="12" t="s">
        <v>107</v>
      </c>
      <c r="K20" s="13" t="s">
        <v>58</v>
      </c>
      <c r="L20" s="11" t="str">
        <f>"000079"</f>
        <v>000079</v>
      </c>
      <c r="M20" s="10">
        <v>42700</v>
      </c>
      <c r="N20" s="11" t="str">
        <f>"000145"</f>
        <v>000145</v>
      </c>
      <c r="O20" s="10">
        <v>42756</v>
      </c>
      <c r="P20" s="11" t="str">
        <f>"000569"</f>
        <v>000569</v>
      </c>
      <c r="Q20" s="10">
        <v>42735</v>
      </c>
      <c r="R20" s="11">
        <v>16</v>
      </c>
      <c r="S20" s="11" t="str">
        <f>"003704"</f>
        <v>003704</v>
      </c>
      <c r="T20" s="10">
        <v>43293</v>
      </c>
      <c r="U20" s="14">
        <v>22.899000000000001</v>
      </c>
      <c r="V20" s="14">
        <v>1.6258600000000001</v>
      </c>
      <c r="W20" s="14">
        <v>21.273140000000001</v>
      </c>
      <c r="X20" s="11">
        <v>125</v>
      </c>
      <c r="Y20" s="10">
        <v>43297</v>
      </c>
      <c r="Z20" s="11">
        <v>9889219009</v>
      </c>
      <c r="AA20" s="12" t="s">
        <v>108</v>
      </c>
      <c r="AB20" s="11" t="s">
        <v>109</v>
      </c>
      <c r="AC20" s="12" t="s">
        <v>110</v>
      </c>
      <c r="AD20" s="11" t="s">
        <v>62</v>
      </c>
      <c r="AE20" s="12" t="s">
        <v>63</v>
      </c>
      <c r="AF20" s="14">
        <v>0.22899</v>
      </c>
      <c r="AG20" s="11" t="s">
        <v>45</v>
      </c>
    </row>
    <row r="21" spans="1:33" x14ac:dyDescent="0.2">
      <c r="A21" s="8">
        <v>3363</v>
      </c>
      <c r="B21" s="9" t="s">
        <v>99</v>
      </c>
      <c r="C21" s="10">
        <v>43298</v>
      </c>
      <c r="D21" s="11">
        <v>13</v>
      </c>
      <c r="E21" s="12" t="s">
        <v>34</v>
      </c>
      <c r="F21" s="12" t="s">
        <v>35</v>
      </c>
      <c r="G21" s="12" t="s">
        <v>36</v>
      </c>
      <c r="H21" s="12" t="s">
        <v>36</v>
      </c>
      <c r="I21" s="11" t="s">
        <v>111</v>
      </c>
      <c r="J21" s="12" t="s">
        <v>112</v>
      </c>
      <c r="K21" s="13" t="s">
        <v>58</v>
      </c>
      <c r="L21" s="11" t="str">
        <f>"000006"</f>
        <v>000006</v>
      </c>
      <c r="M21" s="10">
        <v>43053</v>
      </c>
      <c r="N21" s="11" t="str">
        <f>"000005"</f>
        <v>000005</v>
      </c>
      <c r="O21" s="10">
        <v>43224</v>
      </c>
      <c r="P21" s="11" t="str">
        <f>"000005"</f>
        <v>000005</v>
      </c>
      <c r="Q21" s="10">
        <v>43225</v>
      </c>
      <c r="R21" s="11">
        <v>18</v>
      </c>
      <c r="S21" s="11" t="str">
        <f>"003330"</f>
        <v>003330</v>
      </c>
      <c r="T21" s="10">
        <v>43286</v>
      </c>
      <c r="U21" s="14">
        <v>17.964780000000001</v>
      </c>
      <c r="V21" s="14">
        <v>1.76512</v>
      </c>
      <c r="W21" s="14">
        <v>16.199660000000002</v>
      </c>
      <c r="X21" s="11">
        <v>126</v>
      </c>
      <c r="Y21" s="10">
        <v>43298</v>
      </c>
      <c r="Z21" s="11">
        <v>8105878312</v>
      </c>
      <c r="AA21" s="12" t="s">
        <v>40</v>
      </c>
      <c r="AB21" s="11" t="s">
        <v>113</v>
      </c>
      <c r="AC21" s="12" t="s">
        <v>114</v>
      </c>
      <c r="AD21" s="11" t="s">
        <v>43</v>
      </c>
      <c r="AE21" s="12" t="s">
        <v>44</v>
      </c>
      <c r="AF21" s="14">
        <v>0.17964780000000002</v>
      </c>
      <c r="AG21" s="11" t="s">
        <v>52</v>
      </c>
    </row>
    <row r="22" spans="1:33" x14ac:dyDescent="0.2">
      <c r="A22" s="8">
        <v>3364</v>
      </c>
      <c r="B22" s="9" t="s">
        <v>99</v>
      </c>
      <c r="C22" s="10">
        <v>43298</v>
      </c>
      <c r="D22" s="11">
        <v>13</v>
      </c>
      <c r="E22" s="12" t="s">
        <v>34</v>
      </c>
      <c r="F22" s="12" t="s">
        <v>35</v>
      </c>
      <c r="G22" s="12" t="s">
        <v>36</v>
      </c>
      <c r="H22" s="12" t="s">
        <v>36</v>
      </c>
      <c r="I22" s="11" t="s">
        <v>115</v>
      </c>
      <c r="J22" s="12" t="s">
        <v>116</v>
      </c>
      <c r="K22" s="13" t="s">
        <v>72</v>
      </c>
      <c r="L22" s="11" t="str">
        <f>"000005"</f>
        <v>000005</v>
      </c>
      <c r="M22" s="10">
        <v>43053</v>
      </c>
      <c r="N22" s="11" t="str">
        <f>"000004"</f>
        <v>000004</v>
      </c>
      <c r="O22" s="10">
        <v>43224</v>
      </c>
      <c r="P22" s="11" t="str">
        <f>"000004"</f>
        <v>000004</v>
      </c>
      <c r="Q22" s="10">
        <v>43225</v>
      </c>
      <c r="R22" s="11">
        <v>18</v>
      </c>
      <c r="S22" s="11" t="str">
        <f>"003331"</f>
        <v>003331</v>
      </c>
      <c r="T22" s="10">
        <v>43286</v>
      </c>
      <c r="U22" s="14">
        <v>49.997140000000002</v>
      </c>
      <c r="V22" s="14">
        <v>4.65822</v>
      </c>
      <c r="W22" s="14">
        <v>45.338920000000002</v>
      </c>
      <c r="X22" s="11">
        <v>126</v>
      </c>
      <c r="Y22" s="10">
        <v>43298</v>
      </c>
      <c r="Z22" s="11">
        <v>8105878312</v>
      </c>
      <c r="AA22" s="12" t="s">
        <v>40</v>
      </c>
      <c r="AB22" s="11" t="s">
        <v>41</v>
      </c>
      <c r="AC22" s="12" t="s">
        <v>42</v>
      </c>
      <c r="AD22" s="11" t="s">
        <v>43</v>
      </c>
      <c r="AE22" s="12" t="s">
        <v>44</v>
      </c>
      <c r="AF22" s="14">
        <v>0.49997140000000001</v>
      </c>
      <c r="AG22" s="11" t="s">
        <v>52</v>
      </c>
    </row>
    <row r="23" spans="1:33" x14ac:dyDescent="0.2">
      <c r="A23" s="8">
        <v>3365</v>
      </c>
      <c r="B23" s="9" t="s">
        <v>99</v>
      </c>
      <c r="C23" s="10">
        <v>43298</v>
      </c>
      <c r="D23" s="11">
        <v>13</v>
      </c>
      <c r="E23" s="12" t="s">
        <v>34</v>
      </c>
      <c r="F23" s="12" t="s">
        <v>35</v>
      </c>
      <c r="G23" s="12" t="s">
        <v>36</v>
      </c>
      <c r="H23" s="12" t="s">
        <v>36</v>
      </c>
      <c r="I23" s="11" t="s">
        <v>117</v>
      </c>
      <c r="J23" s="12" t="s">
        <v>118</v>
      </c>
      <c r="K23" s="13" t="s">
        <v>58</v>
      </c>
      <c r="L23" s="11" t="str">
        <f>"000003"</f>
        <v>000003</v>
      </c>
      <c r="M23" s="10">
        <v>43053</v>
      </c>
      <c r="N23" s="11" t="str">
        <f>"000003"</f>
        <v>000003</v>
      </c>
      <c r="O23" s="10">
        <v>43224</v>
      </c>
      <c r="P23" s="11" t="str">
        <f>"000006"</f>
        <v>000006</v>
      </c>
      <c r="Q23" s="10">
        <v>43225</v>
      </c>
      <c r="R23" s="11">
        <v>18</v>
      </c>
      <c r="S23" s="11" t="str">
        <f>"003332"</f>
        <v>003332</v>
      </c>
      <c r="T23" s="10">
        <v>43286</v>
      </c>
      <c r="U23" s="14">
        <v>29.99464</v>
      </c>
      <c r="V23" s="14">
        <v>2.6726999999999999</v>
      </c>
      <c r="W23" s="14">
        <v>27.321940000000001</v>
      </c>
      <c r="X23" s="11">
        <v>126</v>
      </c>
      <c r="Y23" s="10">
        <v>43298</v>
      </c>
      <c r="Z23" s="11">
        <v>8105878312</v>
      </c>
      <c r="AA23" s="12" t="s">
        <v>40</v>
      </c>
      <c r="AB23" s="11" t="s">
        <v>41</v>
      </c>
      <c r="AC23" s="12" t="s">
        <v>42</v>
      </c>
      <c r="AD23" s="11" t="s">
        <v>43</v>
      </c>
      <c r="AE23" s="12" t="s">
        <v>44</v>
      </c>
      <c r="AF23" s="14">
        <v>0.2999464</v>
      </c>
      <c r="AG23" s="11" t="s">
        <v>52</v>
      </c>
    </row>
    <row r="24" spans="1:33" x14ac:dyDescent="0.2">
      <c r="A24" s="8">
        <v>3962</v>
      </c>
      <c r="B24" s="9" t="s">
        <v>99</v>
      </c>
      <c r="C24" s="10">
        <v>43307</v>
      </c>
      <c r="D24" s="11">
        <v>13</v>
      </c>
      <c r="E24" s="12" t="s">
        <v>34</v>
      </c>
      <c r="F24" s="12" t="s">
        <v>35</v>
      </c>
      <c r="G24" s="12" t="s">
        <v>36</v>
      </c>
      <c r="H24" s="12" t="s">
        <v>36</v>
      </c>
      <c r="I24" s="11" t="s">
        <v>119</v>
      </c>
      <c r="J24" s="12" t="s">
        <v>120</v>
      </c>
      <c r="K24" s="13" t="s">
        <v>39</v>
      </c>
      <c r="L24" s="11" t="str">
        <f>"000022"</f>
        <v>000022</v>
      </c>
      <c r="M24" s="10">
        <v>42683</v>
      </c>
      <c r="N24" s="11" t="str">
        <f>"000019"</f>
        <v>000019</v>
      </c>
      <c r="O24" s="10">
        <v>42824</v>
      </c>
      <c r="P24" s="11" t="str">
        <f>"000003"</f>
        <v>000003</v>
      </c>
      <c r="Q24" s="10">
        <v>42852</v>
      </c>
      <c r="R24" s="11">
        <v>17</v>
      </c>
      <c r="S24" s="11" t="str">
        <f>"004046"</f>
        <v>004046</v>
      </c>
      <c r="T24" s="10">
        <v>43301</v>
      </c>
      <c r="U24" s="14">
        <v>48.57058</v>
      </c>
      <c r="V24" s="14">
        <v>5.9808399999999997</v>
      </c>
      <c r="W24" s="14">
        <v>42.589739999999999</v>
      </c>
      <c r="X24" s="11">
        <v>142</v>
      </c>
      <c r="Y24" s="10">
        <v>43307</v>
      </c>
      <c r="Z24" s="11">
        <v>8105878312</v>
      </c>
      <c r="AA24" s="12" t="s">
        <v>40</v>
      </c>
      <c r="AB24" s="11" t="s">
        <v>121</v>
      </c>
      <c r="AC24" s="12" t="s">
        <v>122</v>
      </c>
      <c r="AD24" s="11" t="s">
        <v>43</v>
      </c>
      <c r="AE24" s="12" t="s">
        <v>44</v>
      </c>
      <c r="AF24" s="14">
        <v>0.48570580000000002</v>
      </c>
      <c r="AG24" s="11" t="s">
        <v>45</v>
      </c>
    </row>
    <row r="25" spans="1:33" x14ac:dyDescent="0.2">
      <c r="A25" s="8">
        <v>4068</v>
      </c>
      <c r="B25" s="9" t="s">
        <v>99</v>
      </c>
      <c r="C25" s="10">
        <v>43308</v>
      </c>
      <c r="D25" s="11">
        <v>13</v>
      </c>
      <c r="E25" s="12" t="s">
        <v>34</v>
      </c>
      <c r="F25" s="12" t="s">
        <v>35</v>
      </c>
      <c r="G25" s="12" t="s">
        <v>36</v>
      </c>
      <c r="H25" s="12" t="s">
        <v>36</v>
      </c>
      <c r="I25" s="11" t="s">
        <v>123</v>
      </c>
      <c r="J25" s="12" t="s">
        <v>124</v>
      </c>
      <c r="K25" s="13" t="s">
        <v>125</v>
      </c>
      <c r="L25" s="11" t="str">
        <f>"000127"</f>
        <v>000127</v>
      </c>
      <c r="M25" s="10">
        <v>43087</v>
      </c>
      <c r="N25" s="11" t="str">
        <f>"000014"</f>
        <v>000014</v>
      </c>
      <c r="O25" s="10">
        <v>43245</v>
      </c>
      <c r="P25" s="11" t="str">
        <f>"000071"</f>
        <v>000071</v>
      </c>
      <c r="Q25" s="10">
        <v>43257</v>
      </c>
      <c r="R25" s="11">
        <v>18</v>
      </c>
      <c r="S25" s="11" t="str">
        <f>"004382"</f>
        <v>004382</v>
      </c>
      <c r="T25" s="10">
        <v>43306</v>
      </c>
      <c r="U25" s="14">
        <v>99.222359999999995</v>
      </c>
      <c r="V25" s="14">
        <v>8.4225399999999997</v>
      </c>
      <c r="W25" s="14">
        <v>90.799819999999997</v>
      </c>
      <c r="X25" s="11">
        <v>143</v>
      </c>
      <c r="Y25" s="10">
        <v>43308</v>
      </c>
      <c r="Z25" s="11">
        <v>8105878312</v>
      </c>
      <c r="AA25" s="12" t="s">
        <v>40</v>
      </c>
      <c r="AB25" s="11" t="s">
        <v>126</v>
      </c>
      <c r="AC25" s="12" t="s">
        <v>127</v>
      </c>
      <c r="AD25" s="11" t="s">
        <v>62</v>
      </c>
      <c r="AE25" s="12" t="s">
        <v>63</v>
      </c>
      <c r="AF25" s="14">
        <v>0.99222359999999998</v>
      </c>
      <c r="AG25" s="11" t="s">
        <v>52</v>
      </c>
    </row>
    <row r="26" spans="1:33" x14ac:dyDescent="0.2">
      <c r="A26" s="8">
        <v>4069</v>
      </c>
      <c r="B26" s="9" t="s">
        <v>99</v>
      </c>
      <c r="C26" s="10">
        <v>43308</v>
      </c>
      <c r="D26" s="11">
        <v>13</v>
      </c>
      <c r="E26" s="12" t="s">
        <v>34</v>
      </c>
      <c r="F26" s="12" t="s">
        <v>35</v>
      </c>
      <c r="G26" s="12" t="s">
        <v>36</v>
      </c>
      <c r="H26" s="12" t="s">
        <v>36</v>
      </c>
      <c r="I26" s="11" t="s">
        <v>128</v>
      </c>
      <c r="J26" s="12" t="s">
        <v>129</v>
      </c>
      <c r="K26" s="13" t="s">
        <v>72</v>
      </c>
      <c r="L26" s="11" t="str">
        <f>"00013A"</f>
        <v>00013A</v>
      </c>
      <c r="M26" s="10">
        <v>42703</v>
      </c>
      <c r="N26" s="11" t="str">
        <f>"000018"</f>
        <v>000018</v>
      </c>
      <c r="O26" s="10">
        <v>42916</v>
      </c>
      <c r="P26" s="11" t="str">
        <f>"000018"</f>
        <v>000018</v>
      </c>
      <c r="Q26" s="10">
        <v>42916</v>
      </c>
      <c r="R26" s="11">
        <v>16</v>
      </c>
      <c r="S26" s="11" t="str">
        <f>"004347"</f>
        <v>004347</v>
      </c>
      <c r="T26" s="10">
        <v>43306</v>
      </c>
      <c r="U26" s="14">
        <v>5.5376700000000003</v>
      </c>
      <c r="V26" s="14">
        <v>0.34993000000000002</v>
      </c>
      <c r="W26" s="14">
        <v>5.1877399999999998</v>
      </c>
      <c r="X26" s="11">
        <v>146</v>
      </c>
      <c r="Y26" s="10">
        <v>43308</v>
      </c>
      <c r="Z26" s="11">
        <v>9448069096</v>
      </c>
      <c r="AA26" s="12" t="s">
        <v>130</v>
      </c>
      <c r="AB26" s="11" t="s">
        <v>131</v>
      </c>
      <c r="AC26" s="12" t="s">
        <v>132</v>
      </c>
      <c r="AD26" s="11" t="s">
        <v>133</v>
      </c>
      <c r="AE26" s="12" t="s">
        <v>134</v>
      </c>
      <c r="AF26" s="14">
        <v>5.5376700000000001E-2</v>
      </c>
      <c r="AG26" s="11" t="s">
        <v>45</v>
      </c>
    </row>
    <row r="27" spans="1:33" x14ac:dyDescent="0.2">
      <c r="A27" s="8">
        <v>4070</v>
      </c>
      <c r="B27" s="9" t="s">
        <v>99</v>
      </c>
      <c r="C27" s="10">
        <v>43308</v>
      </c>
      <c r="D27" s="11">
        <v>13</v>
      </c>
      <c r="E27" s="12" t="s">
        <v>34</v>
      </c>
      <c r="F27" s="12" t="s">
        <v>35</v>
      </c>
      <c r="G27" s="12" t="s">
        <v>36</v>
      </c>
      <c r="H27" s="12" t="s">
        <v>36</v>
      </c>
      <c r="I27" s="11" t="s">
        <v>128</v>
      </c>
      <c r="J27" s="12" t="s">
        <v>129</v>
      </c>
      <c r="K27" s="13" t="s">
        <v>72</v>
      </c>
      <c r="L27" s="11" t="str">
        <f>"00013A"</f>
        <v>00013A</v>
      </c>
      <c r="M27" s="10">
        <v>42703</v>
      </c>
      <c r="N27" s="11" t="str">
        <f>"000018"</f>
        <v>000018</v>
      </c>
      <c r="O27" s="10">
        <v>42916</v>
      </c>
      <c r="P27" s="11" t="str">
        <f>"000018"</f>
        <v>000018</v>
      </c>
      <c r="Q27" s="10">
        <v>42916</v>
      </c>
      <c r="R27" s="11">
        <v>16</v>
      </c>
      <c r="S27" s="11" t="str">
        <f>"004347"</f>
        <v>004347</v>
      </c>
      <c r="T27" s="10">
        <v>43306</v>
      </c>
      <c r="U27" s="14">
        <v>4.4301500000000003</v>
      </c>
      <c r="V27" s="14">
        <v>0.44914999999999999</v>
      </c>
      <c r="W27" s="14">
        <v>3.9809999999999999</v>
      </c>
      <c r="X27" s="11">
        <v>146</v>
      </c>
      <c r="Y27" s="10">
        <v>43308</v>
      </c>
      <c r="Z27" s="11">
        <v>9448069096</v>
      </c>
      <c r="AA27" s="12" t="s">
        <v>130</v>
      </c>
      <c r="AB27" s="11" t="s">
        <v>131</v>
      </c>
      <c r="AC27" s="12" t="s">
        <v>132</v>
      </c>
      <c r="AD27" s="11" t="s">
        <v>133</v>
      </c>
      <c r="AE27" s="12" t="s">
        <v>134</v>
      </c>
      <c r="AF27" s="14">
        <v>4.4301500000000001E-2</v>
      </c>
      <c r="AG27" s="11" t="s">
        <v>45</v>
      </c>
    </row>
    <row r="28" spans="1:33" x14ac:dyDescent="0.2">
      <c r="A28" s="8">
        <v>4364</v>
      </c>
      <c r="B28" s="9" t="s">
        <v>135</v>
      </c>
      <c r="C28" s="10">
        <v>43318</v>
      </c>
      <c r="D28" s="11">
        <v>13</v>
      </c>
      <c r="E28" s="12" t="s">
        <v>34</v>
      </c>
      <c r="F28" s="12" t="s">
        <v>35</v>
      </c>
      <c r="G28" s="12" t="s">
        <v>36</v>
      </c>
      <c r="H28" s="12" t="s">
        <v>36</v>
      </c>
      <c r="I28" s="11" t="s">
        <v>136</v>
      </c>
      <c r="J28" s="12" t="s">
        <v>137</v>
      </c>
      <c r="K28" s="13" t="s">
        <v>39</v>
      </c>
      <c r="L28" s="11" t="str">
        <f>"000098"</f>
        <v>000098</v>
      </c>
      <c r="M28" s="10">
        <v>42727</v>
      </c>
      <c r="N28" s="11" t="str">
        <f>"000152"</f>
        <v>000152</v>
      </c>
      <c r="O28" s="10">
        <v>42793</v>
      </c>
      <c r="P28" s="11" t="str">
        <f>"000633"</f>
        <v>000633</v>
      </c>
      <c r="Q28" s="10">
        <v>42794</v>
      </c>
      <c r="R28" s="11">
        <v>16</v>
      </c>
      <c r="S28" s="11" t="str">
        <f>"004726"</f>
        <v>004726</v>
      </c>
      <c r="T28" s="10">
        <v>43314</v>
      </c>
      <c r="U28" s="14">
        <v>23.602070000000001</v>
      </c>
      <c r="V28" s="14">
        <v>1.67781</v>
      </c>
      <c r="W28" s="14">
        <v>21.92426</v>
      </c>
      <c r="X28" s="11">
        <v>159</v>
      </c>
      <c r="Y28" s="10">
        <v>43318</v>
      </c>
      <c r="Z28" s="11">
        <v>9845977507</v>
      </c>
      <c r="AA28" s="12" t="s">
        <v>138</v>
      </c>
      <c r="AB28" s="11" t="s">
        <v>109</v>
      </c>
      <c r="AC28" s="12" t="s">
        <v>110</v>
      </c>
      <c r="AD28" s="11" t="s">
        <v>62</v>
      </c>
      <c r="AE28" s="12" t="s">
        <v>63</v>
      </c>
      <c r="AF28" s="14">
        <v>0.2360207</v>
      </c>
      <c r="AG28" s="11" t="s">
        <v>45</v>
      </c>
    </row>
    <row r="29" spans="1:33" x14ac:dyDescent="0.2">
      <c r="A29" s="8">
        <v>4365</v>
      </c>
      <c r="B29" s="9" t="s">
        <v>135</v>
      </c>
      <c r="C29" s="10">
        <v>43318</v>
      </c>
      <c r="D29" s="11">
        <v>13</v>
      </c>
      <c r="E29" s="12" t="s">
        <v>34</v>
      </c>
      <c r="F29" s="12" t="s">
        <v>35</v>
      </c>
      <c r="G29" s="12" t="s">
        <v>36</v>
      </c>
      <c r="H29" s="12" t="s">
        <v>36</v>
      </c>
      <c r="I29" s="11" t="s">
        <v>139</v>
      </c>
      <c r="J29" s="12" t="s">
        <v>140</v>
      </c>
      <c r="K29" s="13" t="s">
        <v>72</v>
      </c>
      <c r="L29" s="11" t="str">
        <f>"000095"</f>
        <v>000095</v>
      </c>
      <c r="M29" s="10">
        <v>42719</v>
      </c>
      <c r="N29" s="11" t="str">
        <f>"000148"</f>
        <v>000148</v>
      </c>
      <c r="O29" s="10">
        <v>42793</v>
      </c>
      <c r="P29" s="11" t="str">
        <f>"000634"</f>
        <v>000634</v>
      </c>
      <c r="Q29" s="10">
        <v>42794</v>
      </c>
      <c r="R29" s="11">
        <v>17</v>
      </c>
      <c r="S29" s="11" t="str">
        <f>"004728"</f>
        <v>004728</v>
      </c>
      <c r="T29" s="10">
        <v>43314</v>
      </c>
      <c r="U29" s="14">
        <v>49.930840000000003</v>
      </c>
      <c r="V29" s="14">
        <v>6.6200099999999997</v>
      </c>
      <c r="W29" s="14">
        <v>43.310830000000003</v>
      </c>
      <c r="X29" s="11">
        <v>159</v>
      </c>
      <c r="Y29" s="10">
        <v>43318</v>
      </c>
      <c r="Z29" s="11">
        <v>9889214004</v>
      </c>
      <c r="AA29" s="12" t="s">
        <v>40</v>
      </c>
      <c r="AB29" s="11" t="s">
        <v>74</v>
      </c>
      <c r="AC29" s="12" t="s">
        <v>75</v>
      </c>
      <c r="AD29" s="11" t="s">
        <v>62</v>
      </c>
      <c r="AE29" s="12" t="s">
        <v>63</v>
      </c>
      <c r="AF29" s="14">
        <v>0.49930840000000004</v>
      </c>
      <c r="AG29" s="11" t="s">
        <v>45</v>
      </c>
    </row>
    <row r="30" spans="1:33" x14ac:dyDescent="0.2">
      <c r="A30" s="8">
        <v>4366</v>
      </c>
      <c r="B30" s="9" t="s">
        <v>135</v>
      </c>
      <c r="C30" s="10">
        <v>43318</v>
      </c>
      <c r="D30" s="11">
        <v>13</v>
      </c>
      <c r="E30" s="12" t="s">
        <v>34</v>
      </c>
      <c r="F30" s="12" t="s">
        <v>35</v>
      </c>
      <c r="G30" s="12" t="s">
        <v>36</v>
      </c>
      <c r="H30" s="12" t="s">
        <v>36</v>
      </c>
      <c r="I30" s="11" t="s">
        <v>141</v>
      </c>
      <c r="J30" s="12" t="s">
        <v>142</v>
      </c>
      <c r="K30" s="13" t="s">
        <v>58</v>
      </c>
      <c r="L30" s="11" t="str">
        <f>"000096"</f>
        <v>000096</v>
      </c>
      <c r="M30" s="10">
        <v>42719</v>
      </c>
      <c r="N30" s="11" t="str">
        <f>"000149"</f>
        <v>000149</v>
      </c>
      <c r="O30" s="10">
        <v>42793</v>
      </c>
      <c r="P30" s="11" t="str">
        <f>"000636"</f>
        <v>000636</v>
      </c>
      <c r="Q30" s="10">
        <v>42794</v>
      </c>
      <c r="R30" s="11">
        <v>17</v>
      </c>
      <c r="S30" s="11" t="str">
        <f>"004729"</f>
        <v>004729</v>
      </c>
      <c r="T30" s="10">
        <v>43314</v>
      </c>
      <c r="U30" s="14">
        <v>99.931340000000006</v>
      </c>
      <c r="V30" s="14">
        <v>13.068569999999999</v>
      </c>
      <c r="W30" s="14">
        <v>86.862769999999998</v>
      </c>
      <c r="X30" s="11">
        <v>159</v>
      </c>
      <c r="Y30" s="10">
        <v>43318</v>
      </c>
      <c r="Z30" s="11">
        <v>9889214004</v>
      </c>
      <c r="AA30" s="12" t="s">
        <v>40</v>
      </c>
      <c r="AB30" s="11" t="s">
        <v>143</v>
      </c>
      <c r="AC30" s="12" t="s">
        <v>144</v>
      </c>
      <c r="AD30" s="11" t="s">
        <v>62</v>
      </c>
      <c r="AE30" s="12" t="s">
        <v>63</v>
      </c>
      <c r="AF30" s="14">
        <v>0.99931340000000002</v>
      </c>
      <c r="AG30" s="11" t="s">
        <v>45</v>
      </c>
    </row>
    <row r="31" spans="1:33" x14ac:dyDescent="0.2">
      <c r="A31" s="8">
        <v>4367</v>
      </c>
      <c r="B31" s="9" t="s">
        <v>135</v>
      </c>
      <c r="C31" s="10">
        <v>43318</v>
      </c>
      <c r="D31" s="11">
        <v>13</v>
      </c>
      <c r="E31" s="12" t="s">
        <v>34</v>
      </c>
      <c r="F31" s="12" t="s">
        <v>35</v>
      </c>
      <c r="G31" s="12" t="s">
        <v>36</v>
      </c>
      <c r="H31" s="12" t="s">
        <v>36</v>
      </c>
      <c r="I31" s="11" t="s">
        <v>145</v>
      </c>
      <c r="J31" s="12" t="s">
        <v>146</v>
      </c>
      <c r="K31" s="13" t="s">
        <v>58</v>
      </c>
      <c r="L31" s="11" t="str">
        <f>"000097"</f>
        <v>000097</v>
      </c>
      <c r="M31" s="10">
        <v>42719</v>
      </c>
      <c r="N31" s="11" t="str">
        <f>"000150"</f>
        <v>000150</v>
      </c>
      <c r="O31" s="10">
        <v>42793</v>
      </c>
      <c r="P31" s="11" t="str">
        <f>"000637"</f>
        <v>000637</v>
      </c>
      <c r="Q31" s="10">
        <v>42794</v>
      </c>
      <c r="R31" s="11">
        <v>17</v>
      </c>
      <c r="S31" s="11" t="str">
        <f>"004730"</f>
        <v>004730</v>
      </c>
      <c r="T31" s="10">
        <v>43314</v>
      </c>
      <c r="U31" s="14">
        <v>99.917360000000002</v>
      </c>
      <c r="V31" s="14">
        <v>13.185359999999999</v>
      </c>
      <c r="W31" s="14">
        <v>86.731999999999999</v>
      </c>
      <c r="X31" s="11">
        <v>159</v>
      </c>
      <c r="Y31" s="10">
        <v>43318</v>
      </c>
      <c r="Z31" s="11">
        <v>9889214004</v>
      </c>
      <c r="AA31" s="12" t="s">
        <v>40</v>
      </c>
      <c r="AB31" s="11" t="s">
        <v>143</v>
      </c>
      <c r="AC31" s="12" t="s">
        <v>144</v>
      </c>
      <c r="AD31" s="11" t="s">
        <v>62</v>
      </c>
      <c r="AE31" s="12" t="s">
        <v>63</v>
      </c>
      <c r="AF31" s="14">
        <v>0.9991736</v>
      </c>
      <c r="AG31" s="11" t="s">
        <v>45</v>
      </c>
    </row>
    <row r="32" spans="1:33" x14ac:dyDescent="0.2">
      <c r="A32" s="8">
        <v>4644</v>
      </c>
      <c r="B32" s="9" t="s">
        <v>135</v>
      </c>
      <c r="C32" s="10">
        <v>43320</v>
      </c>
      <c r="D32" s="11">
        <v>13</v>
      </c>
      <c r="E32" s="12" t="s">
        <v>34</v>
      </c>
      <c r="F32" s="12" t="s">
        <v>35</v>
      </c>
      <c r="G32" s="12" t="s">
        <v>36</v>
      </c>
      <c r="H32" s="12" t="s">
        <v>36</v>
      </c>
      <c r="I32" s="11" t="s">
        <v>147</v>
      </c>
      <c r="J32" s="12" t="s">
        <v>148</v>
      </c>
      <c r="K32" s="13" t="s">
        <v>39</v>
      </c>
      <c r="L32" s="11" t="str">
        <f>"000014"</f>
        <v>000014</v>
      </c>
      <c r="M32" s="10">
        <v>43101</v>
      </c>
      <c r="N32" s="11" t="str">
        <f>"000008"</f>
        <v>000008</v>
      </c>
      <c r="O32" s="10">
        <v>43256</v>
      </c>
      <c r="P32" s="11" t="str">
        <f>"000009"</f>
        <v>000009</v>
      </c>
      <c r="Q32" s="10">
        <v>43256</v>
      </c>
      <c r="R32" s="11">
        <v>17</v>
      </c>
      <c r="S32" s="11" t="str">
        <f>"004967"</f>
        <v>004967</v>
      </c>
      <c r="T32" s="10">
        <v>43320</v>
      </c>
      <c r="U32" s="14">
        <v>38.626559999999998</v>
      </c>
      <c r="V32" s="14">
        <v>3.4335</v>
      </c>
      <c r="W32" s="14">
        <v>35.193060000000003</v>
      </c>
      <c r="X32" s="11">
        <v>164</v>
      </c>
      <c r="Y32" s="10">
        <v>43320</v>
      </c>
      <c r="Z32" s="11">
        <v>9481614888</v>
      </c>
      <c r="AA32" s="12" t="s">
        <v>149</v>
      </c>
      <c r="AB32" s="11" t="s">
        <v>50</v>
      </c>
      <c r="AC32" s="12" t="s">
        <v>51</v>
      </c>
      <c r="AD32" s="11" t="s">
        <v>43</v>
      </c>
      <c r="AE32" s="12" t="s">
        <v>44</v>
      </c>
      <c r="AF32" s="14">
        <v>0.38626559999999999</v>
      </c>
      <c r="AG32" s="11" t="s">
        <v>52</v>
      </c>
    </row>
    <row r="33" spans="1:33" x14ac:dyDescent="0.2">
      <c r="A33" s="8">
        <v>5071</v>
      </c>
      <c r="B33" s="9" t="s">
        <v>135</v>
      </c>
      <c r="C33" s="10">
        <v>43337</v>
      </c>
      <c r="D33" s="11">
        <v>13</v>
      </c>
      <c r="E33" s="12" t="s">
        <v>34</v>
      </c>
      <c r="F33" s="12" t="s">
        <v>35</v>
      </c>
      <c r="G33" s="12" t="s">
        <v>36</v>
      </c>
      <c r="H33" s="12" t="s">
        <v>36</v>
      </c>
      <c r="I33" s="11" t="s">
        <v>150</v>
      </c>
      <c r="J33" s="12" t="s">
        <v>151</v>
      </c>
      <c r="K33" s="13" t="s">
        <v>72</v>
      </c>
      <c r="L33" s="11" t="str">
        <f>"000004"</f>
        <v>000004</v>
      </c>
      <c r="M33" s="10">
        <v>43053</v>
      </c>
      <c r="N33" s="11" t="str">
        <f>"000001"</f>
        <v>000001</v>
      </c>
      <c r="O33" s="10">
        <v>43181</v>
      </c>
      <c r="P33" s="11" t="str">
        <f>"000001"</f>
        <v>000001</v>
      </c>
      <c r="Q33" s="10">
        <v>43194</v>
      </c>
      <c r="R33" s="11">
        <v>18</v>
      </c>
      <c r="S33" s="11" t="str">
        <f>"005215"</f>
        <v>005215</v>
      </c>
      <c r="T33" s="10">
        <v>43326</v>
      </c>
      <c r="U33" s="14">
        <v>49.903880000000001</v>
      </c>
      <c r="V33" s="14">
        <v>4.8747100000000003</v>
      </c>
      <c r="W33" s="14">
        <v>45.029170000000001</v>
      </c>
      <c r="X33" s="11">
        <v>181</v>
      </c>
      <c r="Y33" s="10">
        <v>43337</v>
      </c>
      <c r="Z33" s="11">
        <v>8105878312</v>
      </c>
      <c r="AA33" s="12" t="s">
        <v>40</v>
      </c>
      <c r="AB33" s="11" t="s">
        <v>113</v>
      </c>
      <c r="AC33" s="12" t="s">
        <v>114</v>
      </c>
      <c r="AD33" s="11" t="s">
        <v>43</v>
      </c>
      <c r="AE33" s="12" t="s">
        <v>44</v>
      </c>
      <c r="AF33" s="14">
        <v>0.4990388</v>
      </c>
      <c r="AG33" s="11" t="s">
        <v>52</v>
      </c>
    </row>
    <row r="34" spans="1:33" x14ac:dyDescent="0.2">
      <c r="A34" s="8">
        <v>5444</v>
      </c>
      <c r="B34" s="9" t="s">
        <v>152</v>
      </c>
      <c r="C34" s="10">
        <v>43357</v>
      </c>
      <c r="D34" s="11">
        <v>13</v>
      </c>
      <c r="E34" s="12" t="s">
        <v>34</v>
      </c>
      <c r="F34" s="12" t="s">
        <v>35</v>
      </c>
      <c r="G34" s="12" t="s">
        <v>36</v>
      </c>
      <c r="H34" s="12" t="s">
        <v>36</v>
      </c>
      <c r="I34" s="11" t="s">
        <v>153</v>
      </c>
      <c r="J34" s="12" t="s">
        <v>154</v>
      </c>
      <c r="K34" s="13" t="s">
        <v>39</v>
      </c>
      <c r="L34" s="11" t="str">
        <f>"000021"</f>
        <v>000021</v>
      </c>
      <c r="M34" s="10">
        <v>42663</v>
      </c>
      <c r="N34" s="11" t="str">
        <f>"000003"</f>
        <v>000003</v>
      </c>
      <c r="O34" s="10">
        <v>42914</v>
      </c>
      <c r="P34" s="11" t="str">
        <f>"000006"</f>
        <v>000006</v>
      </c>
      <c r="Q34" s="10">
        <v>42914</v>
      </c>
      <c r="R34" s="11">
        <v>17</v>
      </c>
      <c r="S34" s="11" t="str">
        <f>"005644"</f>
        <v>005644</v>
      </c>
      <c r="T34" s="10">
        <v>43349</v>
      </c>
      <c r="U34" s="14">
        <v>197.07579000000001</v>
      </c>
      <c r="V34" s="14">
        <v>26.157299999999999</v>
      </c>
      <c r="W34" s="14">
        <v>170.91848999999999</v>
      </c>
      <c r="X34" s="11">
        <v>203</v>
      </c>
      <c r="Y34" s="10">
        <v>43357</v>
      </c>
      <c r="Z34" s="11">
        <v>9632269666</v>
      </c>
      <c r="AA34" s="12" t="s">
        <v>40</v>
      </c>
      <c r="AB34" s="11" t="s">
        <v>155</v>
      </c>
      <c r="AC34" s="12" t="s">
        <v>156</v>
      </c>
      <c r="AD34" s="11" t="s">
        <v>43</v>
      </c>
      <c r="AE34" s="12" t="s">
        <v>44</v>
      </c>
      <c r="AF34" s="14">
        <f t="shared" ref="AF34:AF60" si="0">U34/100</f>
        <v>1.9707579000000002</v>
      </c>
      <c r="AG34" s="11" t="s">
        <v>45</v>
      </c>
    </row>
    <row r="35" spans="1:33" x14ac:dyDescent="0.2">
      <c r="A35" s="8">
        <v>5445</v>
      </c>
      <c r="B35" s="9" t="s">
        <v>152</v>
      </c>
      <c r="C35" s="10">
        <v>43357</v>
      </c>
      <c r="D35" s="11">
        <v>13</v>
      </c>
      <c r="E35" s="12" t="s">
        <v>34</v>
      </c>
      <c r="F35" s="12" t="s">
        <v>35</v>
      </c>
      <c r="G35" s="12" t="s">
        <v>36</v>
      </c>
      <c r="H35" s="12" t="s">
        <v>36</v>
      </c>
      <c r="I35" s="11" t="s">
        <v>157</v>
      </c>
      <c r="J35" s="12" t="s">
        <v>158</v>
      </c>
      <c r="K35" s="13" t="s">
        <v>125</v>
      </c>
      <c r="L35" s="11" t="str">
        <f>"000145"</f>
        <v>000145</v>
      </c>
      <c r="M35" s="10">
        <v>42818</v>
      </c>
      <c r="N35" s="11" t="str">
        <f>"000018"</f>
        <v>000018</v>
      </c>
      <c r="O35" s="10">
        <v>43046</v>
      </c>
      <c r="P35" s="11" t="str">
        <f>"000054"</f>
        <v>000054</v>
      </c>
      <c r="Q35" s="10">
        <v>43060</v>
      </c>
      <c r="R35" s="11">
        <v>17</v>
      </c>
      <c r="S35" s="11" t="str">
        <f>"005683"</f>
        <v>005683</v>
      </c>
      <c r="T35" s="10">
        <v>43350</v>
      </c>
      <c r="U35" s="14">
        <v>14.001670000000001</v>
      </c>
      <c r="V35" s="14">
        <v>0.45906000000000002</v>
      </c>
      <c r="W35" s="14">
        <v>13.54261</v>
      </c>
      <c r="X35" s="11">
        <v>204</v>
      </c>
      <c r="Y35" s="10">
        <v>43357</v>
      </c>
      <c r="Z35" s="11">
        <v>9880650463</v>
      </c>
      <c r="AA35" s="12" t="s">
        <v>159</v>
      </c>
      <c r="AB35" s="11" t="s">
        <v>60</v>
      </c>
      <c r="AC35" s="12" t="s">
        <v>61</v>
      </c>
      <c r="AD35" s="11" t="s">
        <v>62</v>
      </c>
      <c r="AE35" s="12" t="s">
        <v>63</v>
      </c>
      <c r="AF35" s="14">
        <f t="shared" si="0"/>
        <v>0.14001669999999999</v>
      </c>
      <c r="AG35" s="11" t="s">
        <v>45</v>
      </c>
    </row>
    <row r="36" spans="1:33" x14ac:dyDescent="0.2">
      <c r="A36" s="8">
        <v>5446</v>
      </c>
      <c r="B36" s="9" t="s">
        <v>152</v>
      </c>
      <c r="C36" s="10">
        <v>43357</v>
      </c>
      <c r="D36" s="11">
        <v>13</v>
      </c>
      <c r="E36" s="12" t="s">
        <v>34</v>
      </c>
      <c r="F36" s="12" t="s">
        <v>35</v>
      </c>
      <c r="G36" s="12" t="s">
        <v>36</v>
      </c>
      <c r="H36" s="12" t="s">
        <v>36</v>
      </c>
      <c r="I36" s="11" t="s">
        <v>160</v>
      </c>
      <c r="J36" s="12" t="s">
        <v>161</v>
      </c>
      <c r="K36" s="13" t="s">
        <v>125</v>
      </c>
      <c r="L36" s="11" t="str">
        <f>"000144"</f>
        <v>000144</v>
      </c>
      <c r="M36" s="10">
        <v>42818</v>
      </c>
      <c r="N36" s="11" t="str">
        <f>"000017"</f>
        <v>000017</v>
      </c>
      <c r="O36" s="10">
        <v>43046</v>
      </c>
      <c r="P36" s="11" t="str">
        <f>"000055"</f>
        <v>000055</v>
      </c>
      <c r="Q36" s="10">
        <v>43060</v>
      </c>
      <c r="R36" s="11">
        <v>17</v>
      </c>
      <c r="S36" s="11" t="str">
        <f>"005684"</f>
        <v>005684</v>
      </c>
      <c r="T36" s="10">
        <v>43350</v>
      </c>
      <c r="U36" s="14">
        <v>14.073510000000001</v>
      </c>
      <c r="V36" s="14">
        <v>0.46146999999999999</v>
      </c>
      <c r="W36" s="14">
        <v>13.61204</v>
      </c>
      <c r="X36" s="11">
        <v>204</v>
      </c>
      <c r="Y36" s="10">
        <v>43357</v>
      </c>
      <c r="Z36" s="11">
        <v>9880650463</v>
      </c>
      <c r="AA36" s="12" t="s">
        <v>159</v>
      </c>
      <c r="AB36" s="11" t="s">
        <v>60</v>
      </c>
      <c r="AC36" s="12" t="s">
        <v>61</v>
      </c>
      <c r="AD36" s="11" t="s">
        <v>62</v>
      </c>
      <c r="AE36" s="12" t="s">
        <v>63</v>
      </c>
      <c r="AF36" s="14">
        <f t="shared" si="0"/>
        <v>0.1407351</v>
      </c>
      <c r="AG36" s="11" t="s">
        <v>45</v>
      </c>
    </row>
    <row r="37" spans="1:33" x14ac:dyDescent="0.2">
      <c r="A37" s="8">
        <v>5596</v>
      </c>
      <c r="B37" s="9" t="s">
        <v>152</v>
      </c>
      <c r="C37" s="10">
        <v>43370</v>
      </c>
      <c r="D37" s="11">
        <v>13</v>
      </c>
      <c r="E37" s="12" t="s">
        <v>34</v>
      </c>
      <c r="F37" s="12" t="s">
        <v>35</v>
      </c>
      <c r="G37" s="12" t="s">
        <v>36</v>
      </c>
      <c r="H37" s="12" t="s">
        <v>36</v>
      </c>
      <c r="I37" s="11" t="s">
        <v>162</v>
      </c>
      <c r="J37" s="12" t="s">
        <v>163</v>
      </c>
      <c r="K37" s="13" t="s">
        <v>39</v>
      </c>
      <c r="L37" s="11" t="str">
        <f>"000030"</f>
        <v>000030</v>
      </c>
      <c r="M37" s="10">
        <v>42719</v>
      </c>
      <c r="N37" s="11" t="str">
        <f>"000018"</f>
        <v>000018</v>
      </c>
      <c r="O37" s="10">
        <v>42822</v>
      </c>
      <c r="P37" s="11" t="str">
        <f>"000002"</f>
        <v>000002</v>
      </c>
      <c r="Q37" s="10">
        <v>42852</v>
      </c>
      <c r="R37" s="11">
        <v>17</v>
      </c>
      <c r="S37" s="11" t="str">
        <f>"005865"</f>
        <v>005865</v>
      </c>
      <c r="T37" s="10">
        <v>43363</v>
      </c>
      <c r="U37" s="14">
        <v>98.750510000000006</v>
      </c>
      <c r="V37" s="14">
        <v>13.92379</v>
      </c>
      <c r="W37" s="14">
        <v>84.826719999999995</v>
      </c>
      <c r="X37" s="11">
        <v>217</v>
      </c>
      <c r="Y37" s="10">
        <v>43370</v>
      </c>
      <c r="Z37" s="11">
        <v>8105878312</v>
      </c>
      <c r="AA37" s="12" t="s">
        <v>40</v>
      </c>
      <c r="AB37" s="11" t="s">
        <v>164</v>
      </c>
      <c r="AC37" s="12" t="s">
        <v>165</v>
      </c>
      <c r="AD37" s="11" t="s">
        <v>43</v>
      </c>
      <c r="AE37" s="12" t="s">
        <v>44</v>
      </c>
      <c r="AF37" s="14">
        <f t="shared" si="0"/>
        <v>0.98750510000000002</v>
      </c>
      <c r="AG37" s="11" t="s">
        <v>45</v>
      </c>
    </row>
    <row r="38" spans="1:33" x14ac:dyDescent="0.2">
      <c r="A38" s="8">
        <v>5597</v>
      </c>
      <c r="B38" s="9" t="s">
        <v>152</v>
      </c>
      <c r="C38" s="10">
        <v>43370</v>
      </c>
      <c r="D38" s="11">
        <v>13</v>
      </c>
      <c r="E38" s="12" t="s">
        <v>34</v>
      </c>
      <c r="F38" s="12" t="s">
        <v>35</v>
      </c>
      <c r="G38" s="12" t="s">
        <v>36</v>
      </c>
      <c r="H38" s="12" t="s">
        <v>36</v>
      </c>
      <c r="I38" s="11" t="s">
        <v>166</v>
      </c>
      <c r="J38" s="12" t="s">
        <v>167</v>
      </c>
      <c r="K38" s="13" t="s">
        <v>39</v>
      </c>
      <c r="L38" s="11" t="str">
        <f>"000035"</f>
        <v>000035</v>
      </c>
      <c r="M38" s="10">
        <v>42763</v>
      </c>
      <c r="N38" s="11" t="str">
        <f>"000020"</f>
        <v>000020</v>
      </c>
      <c r="O38" s="10">
        <v>42824</v>
      </c>
      <c r="P38" s="11" t="str">
        <f>"000004"</f>
        <v>000004</v>
      </c>
      <c r="Q38" s="10">
        <v>42852</v>
      </c>
      <c r="R38" s="11">
        <v>17</v>
      </c>
      <c r="S38" s="11" t="str">
        <f>"005866"</f>
        <v>005866</v>
      </c>
      <c r="T38" s="10">
        <v>43363</v>
      </c>
      <c r="U38" s="14">
        <v>96.244720000000001</v>
      </c>
      <c r="V38" s="14">
        <v>12.6081</v>
      </c>
      <c r="W38" s="14">
        <v>83.636619999999994</v>
      </c>
      <c r="X38" s="11">
        <v>217</v>
      </c>
      <c r="Y38" s="10">
        <v>43370</v>
      </c>
      <c r="Z38" s="11">
        <v>8105878312</v>
      </c>
      <c r="AA38" s="12" t="s">
        <v>40</v>
      </c>
      <c r="AB38" s="11" t="s">
        <v>168</v>
      </c>
      <c r="AC38" s="12" t="s">
        <v>169</v>
      </c>
      <c r="AD38" s="11" t="s">
        <v>43</v>
      </c>
      <c r="AE38" s="12" t="s">
        <v>44</v>
      </c>
      <c r="AF38" s="14">
        <f t="shared" si="0"/>
        <v>0.96244720000000006</v>
      </c>
      <c r="AG38" s="11" t="s">
        <v>45</v>
      </c>
    </row>
    <row r="39" spans="1:33" x14ac:dyDescent="0.2">
      <c r="A39" s="8">
        <v>5923</v>
      </c>
      <c r="B39" s="9" t="s">
        <v>170</v>
      </c>
      <c r="C39" s="10">
        <v>43385</v>
      </c>
      <c r="D39" s="11">
        <v>13</v>
      </c>
      <c r="E39" s="12" t="s">
        <v>34</v>
      </c>
      <c r="F39" s="12" t="s">
        <v>35</v>
      </c>
      <c r="G39" s="12" t="s">
        <v>36</v>
      </c>
      <c r="H39" s="12" t="s">
        <v>36</v>
      </c>
      <c r="I39" s="11" t="s">
        <v>171</v>
      </c>
      <c r="J39" s="12" t="s">
        <v>172</v>
      </c>
      <c r="K39" s="13" t="s">
        <v>72</v>
      </c>
      <c r="L39" s="11" t="str">
        <f>"000138"</f>
        <v>000138</v>
      </c>
      <c r="M39" s="10">
        <v>42818</v>
      </c>
      <c r="N39" s="11" t="str">
        <f>"000001"</f>
        <v>000001</v>
      </c>
      <c r="O39" s="10">
        <v>42853</v>
      </c>
      <c r="P39" s="11" t="str">
        <f>"000039"</f>
        <v>000039</v>
      </c>
      <c r="Q39" s="10">
        <v>42853</v>
      </c>
      <c r="R39" s="11">
        <v>17</v>
      </c>
      <c r="S39" s="11" t="str">
        <f>"006070"</f>
        <v>006070</v>
      </c>
      <c r="T39" s="10">
        <v>43374</v>
      </c>
      <c r="U39" s="14">
        <v>8.7132000000000005</v>
      </c>
      <c r="V39" s="14">
        <v>0.66005999999999998</v>
      </c>
      <c r="W39" s="14">
        <v>8.0531400000000009</v>
      </c>
      <c r="X39" s="11">
        <v>230</v>
      </c>
      <c r="Y39" s="10">
        <v>43385</v>
      </c>
      <c r="Z39" s="11">
        <v>9449219002</v>
      </c>
      <c r="AA39" s="12" t="s">
        <v>173</v>
      </c>
      <c r="AB39" s="11" t="s">
        <v>60</v>
      </c>
      <c r="AC39" s="12" t="s">
        <v>61</v>
      </c>
      <c r="AD39" s="11" t="s">
        <v>62</v>
      </c>
      <c r="AE39" s="12" t="s">
        <v>63</v>
      </c>
      <c r="AF39" s="14">
        <f t="shared" si="0"/>
        <v>8.7132000000000001E-2</v>
      </c>
      <c r="AG39" s="11" t="s">
        <v>45</v>
      </c>
    </row>
    <row r="40" spans="1:33" x14ac:dyDescent="0.2">
      <c r="A40" s="8">
        <v>5924</v>
      </c>
      <c r="B40" s="9" t="s">
        <v>170</v>
      </c>
      <c r="C40" s="10">
        <v>43385</v>
      </c>
      <c r="D40" s="11">
        <v>13</v>
      </c>
      <c r="E40" s="12" t="s">
        <v>34</v>
      </c>
      <c r="F40" s="12" t="s">
        <v>35</v>
      </c>
      <c r="G40" s="12" t="s">
        <v>36</v>
      </c>
      <c r="H40" s="12" t="s">
        <v>36</v>
      </c>
      <c r="I40" s="11" t="s">
        <v>174</v>
      </c>
      <c r="J40" s="12" t="s">
        <v>175</v>
      </c>
      <c r="K40" s="13" t="s">
        <v>72</v>
      </c>
      <c r="L40" s="11" t="str">
        <f>"000141"</f>
        <v>000141</v>
      </c>
      <c r="M40" s="10">
        <v>42818</v>
      </c>
      <c r="N40" s="11" t="str">
        <f>"000002"</f>
        <v>000002</v>
      </c>
      <c r="O40" s="10">
        <v>42853</v>
      </c>
      <c r="P40" s="11" t="str">
        <f>"000040"</f>
        <v>000040</v>
      </c>
      <c r="Q40" s="10">
        <v>42853</v>
      </c>
      <c r="R40" s="11">
        <v>17</v>
      </c>
      <c r="S40" s="11" t="str">
        <f>"006071"</f>
        <v>006071</v>
      </c>
      <c r="T40" s="10">
        <v>43374</v>
      </c>
      <c r="U40" s="14">
        <v>8.6709300000000002</v>
      </c>
      <c r="V40" s="14">
        <v>0.65749000000000002</v>
      </c>
      <c r="W40" s="14">
        <v>8.0134399999999992</v>
      </c>
      <c r="X40" s="11">
        <v>230</v>
      </c>
      <c r="Y40" s="10">
        <v>43385</v>
      </c>
      <c r="Z40" s="11">
        <v>9449219009</v>
      </c>
      <c r="AA40" s="12" t="s">
        <v>173</v>
      </c>
      <c r="AB40" s="11" t="s">
        <v>60</v>
      </c>
      <c r="AC40" s="12" t="s">
        <v>61</v>
      </c>
      <c r="AD40" s="11" t="s">
        <v>62</v>
      </c>
      <c r="AE40" s="12" t="s">
        <v>63</v>
      </c>
      <c r="AF40" s="14">
        <f t="shared" si="0"/>
        <v>8.6709300000000003E-2</v>
      </c>
      <c r="AG40" s="11" t="s">
        <v>45</v>
      </c>
    </row>
    <row r="41" spans="1:33" x14ac:dyDescent="0.2">
      <c r="A41" s="8">
        <v>5925</v>
      </c>
      <c r="B41" s="9" t="s">
        <v>170</v>
      </c>
      <c r="C41" s="10">
        <v>43385</v>
      </c>
      <c r="D41" s="11">
        <v>13</v>
      </c>
      <c r="E41" s="12" t="s">
        <v>34</v>
      </c>
      <c r="F41" s="12" t="s">
        <v>35</v>
      </c>
      <c r="G41" s="12" t="s">
        <v>36</v>
      </c>
      <c r="H41" s="12" t="s">
        <v>36</v>
      </c>
      <c r="I41" s="11" t="s">
        <v>176</v>
      </c>
      <c r="J41" s="12" t="s">
        <v>177</v>
      </c>
      <c r="K41" s="13" t="s">
        <v>178</v>
      </c>
      <c r="L41" s="11" t="str">
        <f>"000003"</f>
        <v>000003</v>
      </c>
      <c r="M41" s="10">
        <v>43307</v>
      </c>
      <c r="N41" s="11" t="str">
        <f>"000003"</f>
        <v>000003</v>
      </c>
      <c r="O41" s="10">
        <v>43307</v>
      </c>
      <c r="P41" s="11" t="str">
        <f>"000084"</f>
        <v>000084</v>
      </c>
      <c r="Q41" s="10">
        <v>43307</v>
      </c>
      <c r="R41" s="11">
        <v>18</v>
      </c>
      <c r="S41" s="11" t="str">
        <f>"006318"</f>
        <v>006318</v>
      </c>
      <c r="T41" s="10">
        <v>43380</v>
      </c>
      <c r="U41" s="14">
        <v>124.07</v>
      </c>
      <c r="V41" s="14">
        <v>4.6660000000000004</v>
      </c>
      <c r="W41" s="14">
        <v>119.404</v>
      </c>
      <c r="X41" s="11">
        <v>232</v>
      </c>
      <c r="Y41" s="10">
        <v>43385</v>
      </c>
      <c r="Z41" s="11">
        <v>9886078454</v>
      </c>
      <c r="AA41" s="12" t="s">
        <v>179</v>
      </c>
      <c r="AB41" s="11" t="s">
        <v>180</v>
      </c>
      <c r="AC41" s="12" t="s">
        <v>181</v>
      </c>
      <c r="AD41" s="11" t="s">
        <v>182</v>
      </c>
      <c r="AE41" s="12" t="s">
        <v>183</v>
      </c>
      <c r="AF41" s="14">
        <f t="shared" si="0"/>
        <v>1.2406999999999999</v>
      </c>
      <c r="AG41" s="11" t="s">
        <v>184</v>
      </c>
    </row>
    <row r="42" spans="1:33" x14ac:dyDescent="0.2">
      <c r="A42" s="8">
        <v>7689</v>
      </c>
      <c r="B42" s="9" t="s">
        <v>185</v>
      </c>
      <c r="C42" s="10">
        <v>43448</v>
      </c>
      <c r="D42" s="11">
        <v>13</v>
      </c>
      <c r="E42" s="12" t="s">
        <v>34</v>
      </c>
      <c r="F42" s="12" t="s">
        <v>35</v>
      </c>
      <c r="G42" s="12" t="s">
        <v>36</v>
      </c>
      <c r="H42" s="12" t="s">
        <v>36</v>
      </c>
      <c r="I42" s="11" t="s">
        <v>65</v>
      </c>
      <c r="J42" s="12" t="s">
        <v>66</v>
      </c>
      <c r="K42" s="13" t="s">
        <v>67</v>
      </c>
      <c r="L42" s="11" t="str">
        <f>"000313"</f>
        <v>000313</v>
      </c>
      <c r="M42" s="10">
        <v>41702</v>
      </c>
      <c r="N42" s="11" t="str">
        <f>"0o0069"</f>
        <v>0o0069</v>
      </c>
      <c r="O42" s="10">
        <v>42154</v>
      </c>
      <c r="P42" s="11" t="str">
        <f>"000565"</f>
        <v>000565</v>
      </c>
      <c r="Q42" s="10">
        <v>42735</v>
      </c>
      <c r="R42" s="11">
        <v>14</v>
      </c>
      <c r="S42" s="11" t="str">
        <f>"007862"</f>
        <v>007862</v>
      </c>
      <c r="T42" s="10">
        <v>43444</v>
      </c>
      <c r="U42" s="14">
        <v>14.981960000000001</v>
      </c>
      <c r="V42" s="14">
        <v>1.8248200000000001</v>
      </c>
      <c r="W42" s="14">
        <v>13.15714</v>
      </c>
      <c r="X42" s="11">
        <v>291</v>
      </c>
      <c r="Y42" s="10">
        <v>43448</v>
      </c>
      <c r="Z42" s="11">
        <v>9886219099</v>
      </c>
      <c r="AA42" s="12" t="s">
        <v>40</v>
      </c>
      <c r="AB42" s="11" t="s">
        <v>68</v>
      </c>
      <c r="AC42" s="12" t="s">
        <v>69</v>
      </c>
      <c r="AD42" s="11" t="s">
        <v>62</v>
      </c>
      <c r="AE42" s="12" t="s">
        <v>63</v>
      </c>
      <c r="AF42" s="14">
        <f t="shared" si="0"/>
        <v>0.1498196</v>
      </c>
      <c r="AG42" s="11" t="s">
        <v>45</v>
      </c>
    </row>
    <row r="43" spans="1:33" x14ac:dyDescent="0.2">
      <c r="A43" s="8">
        <v>7853</v>
      </c>
      <c r="B43" s="9" t="s">
        <v>185</v>
      </c>
      <c r="C43" s="10">
        <v>43453</v>
      </c>
      <c r="D43" s="11">
        <v>13</v>
      </c>
      <c r="E43" s="12" t="s">
        <v>34</v>
      </c>
      <c r="F43" s="12" t="s">
        <v>35</v>
      </c>
      <c r="G43" s="12" t="s">
        <v>36</v>
      </c>
      <c r="H43" s="12" t="s">
        <v>36</v>
      </c>
      <c r="I43" s="11" t="s">
        <v>186</v>
      </c>
      <c r="J43" s="12" t="s">
        <v>187</v>
      </c>
      <c r="K43" s="13" t="s">
        <v>72</v>
      </c>
      <c r="L43" s="11" t="str">
        <f>"000182"</f>
        <v>000182</v>
      </c>
      <c r="M43" s="10">
        <v>43110</v>
      </c>
      <c r="N43" s="11" t="str">
        <f>"000050"</f>
        <v>000050</v>
      </c>
      <c r="O43" s="10">
        <v>43354</v>
      </c>
      <c r="P43" s="11" t="str">
        <f>"000190"</f>
        <v>000190</v>
      </c>
      <c r="Q43" s="10">
        <v>43358</v>
      </c>
      <c r="R43" s="11">
        <v>17</v>
      </c>
      <c r="S43" s="11" t="str">
        <f>"008063"</f>
        <v>008063</v>
      </c>
      <c r="T43" s="10">
        <v>43451</v>
      </c>
      <c r="U43" s="14">
        <v>11.36356</v>
      </c>
      <c r="V43" s="14">
        <v>0.23863999999999999</v>
      </c>
      <c r="W43" s="14">
        <v>11.124919999999999</v>
      </c>
      <c r="X43" s="11">
        <v>296</v>
      </c>
      <c r="Y43" s="10">
        <v>43453</v>
      </c>
      <c r="Z43" s="11">
        <v>8970389692</v>
      </c>
      <c r="AA43" s="12" t="s">
        <v>188</v>
      </c>
      <c r="AB43" s="11" t="s">
        <v>189</v>
      </c>
      <c r="AC43" s="12" t="s">
        <v>190</v>
      </c>
      <c r="AD43" s="11" t="s">
        <v>62</v>
      </c>
      <c r="AE43" s="12" t="s">
        <v>63</v>
      </c>
      <c r="AF43" s="14">
        <f t="shared" si="0"/>
        <v>0.1136356</v>
      </c>
      <c r="AG43" s="11" t="s">
        <v>52</v>
      </c>
    </row>
    <row r="44" spans="1:33" x14ac:dyDescent="0.2">
      <c r="A44" s="8">
        <v>8095</v>
      </c>
      <c r="B44" s="9" t="s">
        <v>185</v>
      </c>
      <c r="C44" s="10">
        <v>43462</v>
      </c>
      <c r="D44" s="11">
        <v>13</v>
      </c>
      <c r="E44" s="12" t="s">
        <v>34</v>
      </c>
      <c r="F44" s="12" t="s">
        <v>35</v>
      </c>
      <c r="G44" s="12" t="s">
        <v>36</v>
      </c>
      <c r="H44" s="12" t="s">
        <v>36</v>
      </c>
      <c r="I44" s="11" t="s">
        <v>191</v>
      </c>
      <c r="J44" s="12" t="s">
        <v>192</v>
      </c>
      <c r="K44" s="13" t="s">
        <v>67</v>
      </c>
      <c r="L44" s="11" t="str">
        <f>"000148"</f>
        <v>000148</v>
      </c>
      <c r="M44" s="10">
        <v>43091</v>
      </c>
      <c r="N44" s="11" t="str">
        <f>"000048"</f>
        <v>000048</v>
      </c>
      <c r="O44" s="10">
        <v>43171</v>
      </c>
      <c r="P44" s="11" t="str">
        <f>"000143"</f>
        <v>000143</v>
      </c>
      <c r="Q44" s="10">
        <v>43190</v>
      </c>
      <c r="R44" s="11">
        <v>18</v>
      </c>
      <c r="S44" s="11" t="str">
        <f>"008172"</f>
        <v>008172</v>
      </c>
      <c r="T44" s="10">
        <v>43455</v>
      </c>
      <c r="U44" s="14">
        <v>39.558770000000003</v>
      </c>
      <c r="V44" s="14">
        <v>3.2427700000000002</v>
      </c>
      <c r="W44" s="14">
        <v>36.316000000000003</v>
      </c>
      <c r="X44" s="11">
        <v>306</v>
      </c>
      <c r="Y44" s="10">
        <v>43462</v>
      </c>
      <c r="Z44" s="11">
        <v>8105878312</v>
      </c>
      <c r="AA44" s="12" t="s">
        <v>40</v>
      </c>
      <c r="AB44" s="11" t="s">
        <v>68</v>
      </c>
      <c r="AC44" s="12" t="s">
        <v>69</v>
      </c>
      <c r="AD44" s="11" t="s">
        <v>62</v>
      </c>
      <c r="AE44" s="12" t="s">
        <v>63</v>
      </c>
      <c r="AF44" s="14">
        <f t="shared" si="0"/>
        <v>0.39558770000000004</v>
      </c>
      <c r="AG44" s="11" t="s">
        <v>45</v>
      </c>
    </row>
    <row r="45" spans="1:33" x14ac:dyDescent="0.2">
      <c r="A45" s="8">
        <v>9161</v>
      </c>
      <c r="B45" s="9" t="s">
        <v>193</v>
      </c>
      <c r="C45" s="10">
        <v>43508</v>
      </c>
      <c r="D45" s="11">
        <v>13</v>
      </c>
      <c r="E45" s="12" t="s">
        <v>34</v>
      </c>
      <c r="F45" s="12" t="s">
        <v>35</v>
      </c>
      <c r="G45" s="12" t="s">
        <v>36</v>
      </c>
      <c r="H45" s="12" t="s">
        <v>36</v>
      </c>
      <c r="I45" s="11" t="s">
        <v>194</v>
      </c>
      <c r="J45" s="12" t="s">
        <v>195</v>
      </c>
      <c r="K45" s="13" t="s">
        <v>58</v>
      </c>
      <c r="L45" s="11" t="str">
        <f>"00o001"</f>
        <v>00o001</v>
      </c>
      <c r="M45" s="10">
        <v>42742</v>
      </c>
      <c r="N45" s="11" t="str">
        <f>"000027"</f>
        <v>000027</v>
      </c>
      <c r="O45" s="10">
        <v>42905</v>
      </c>
      <c r="P45" s="11" t="str">
        <f>"000111"</f>
        <v>000111</v>
      </c>
      <c r="Q45" s="10">
        <v>42914</v>
      </c>
      <c r="R45" s="11"/>
      <c r="S45" s="11" t="str">
        <f>"009207"</f>
        <v>009207</v>
      </c>
      <c r="T45" s="10">
        <v>43503</v>
      </c>
      <c r="U45" s="14">
        <v>42.584899999999998</v>
      </c>
      <c r="V45" s="14">
        <v>3.13</v>
      </c>
      <c r="W45" s="14">
        <v>39.454900000000002</v>
      </c>
      <c r="X45" s="11">
        <v>349</v>
      </c>
      <c r="Y45" s="10">
        <v>43508</v>
      </c>
      <c r="Z45" s="11">
        <v>9980999698</v>
      </c>
      <c r="AA45" s="12" t="s">
        <v>196</v>
      </c>
      <c r="AB45" s="11" t="s">
        <v>109</v>
      </c>
      <c r="AC45" s="12" t="s">
        <v>110</v>
      </c>
      <c r="AD45" s="11" t="s">
        <v>62</v>
      </c>
      <c r="AE45" s="12" t="s">
        <v>63</v>
      </c>
      <c r="AF45" s="14">
        <f t="shared" si="0"/>
        <v>0.42584899999999998</v>
      </c>
      <c r="AG45" s="11" t="s">
        <v>45</v>
      </c>
    </row>
    <row r="46" spans="1:33" x14ac:dyDescent="0.2">
      <c r="A46" s="8">
        <v>9303</v>
      </c>
      <c r="B46" s="9" t="s">
        <v>193</v>
      </c>
      <c r="C46" s="10">
        <v>43521</v>
      </c>
      <c r="D46" s="11">
        <v>13</v>
      </c>
      <c r="E46" s="12" t="s">
        <v>34</v>
      </c>
      <c r="F46" s="12" t="s">
        <v>35</v>
      </c>
      <c r="G46" s="12" t="s">
        <v>36</v>
      </c>
      <c r="H46" s="12" t="s">
        <v>36</v>
      </c>
      <c r="I46" s="11" t="s">
        <v>197</v>
      </c>
      <c r="J46" s="12" t="s">
        <v>198</v>
      </c>
      <c r="K46" s="13" t="s">
        <v>72</v>
      </c>
      <c r="L46" s="11" t="str">
        <f>"000001"</f>
        <v>000001</v>
      </c>
      <c r="M46" s="10">
        <v>42875</v>
      </c>
      <c r="N46" s="11" t="str">
        <f>"000007"</f>
        <v>000007</v>
      </c>
      <c r="O46" s="10">
        <v>42915</v>
      </c>
      <c r="P46" s="11" t="str">
        <f>"000007"</f>
        <v>000007</v>
      </c>
      <c r="Q46" s="10">
        <v>42916</v>
      </c>
      <c r="R46" s="11"/>
      <c r="S46" s="11" t="str">
        <f>"009402"</f>
        <v>009402</v>
      </c>
      <c r="T46" s="10">
        <v>43518</v>
      </c>
      <c r="U46" s="14">
        <v>45.851210000000002</v>
      </c>
      <c r="V46" s="14">
        <v>6.2409299999999996</v>
      </c>
      <c r="W46" s="14">
        <v>39.610280000000003</v>
      </c>
      <c r="X46" s="11">
        <v>359</v>
      </c>
      <c r="Y46" s="10">
        <v>43521</v>
      </c>
      <c r="Z46" s="11">
        <v>9448260580</v>
      </c>
      <c r="AA46" s="12" t="s">
        <v>40</v>
      </c>
      <c r="AB46" s="11" t="s">
        <v>199</v>
      </c>
      <c r="AC46" s="12" t="s">
        <v>200</v>
      </c>
      <c r="AD46" s="11" t="s">
        <v>43</v>
      </c>
      <c r="AE46" s="12" t="s">
        <v>44</v>
      </c>
      <c r="AF46" s="14">
        <f t="shared" si="0"/>
        <v>0.45851210000000003</v>
      </c>
      <c r="AG46" s="11" t="s">
        <v>45</v>
      </c>
    </row>
    <row r="47" spans="1:33" x14ac:dyDescent="0.2">
      <c r="A47" s="8">
        <v>9360</v>
      </c>
      <c r="B47" s="9" t="s">
        <v>193</v>
      </c>
      <c r="C47" s="10">
        <v>43521</v>
      </c>
      <c r="D47" s="11">
        <v>13</v>
      </c>
      <c r="E47" s="12" t="s">
        <v>34</v>
      </c>
      <c r="F47" s="12" t="s">
        <v>35</v>
      </c>
      <c r="G47" s="12" t="s">
        <v>36</v>
      </c>
      <c r="H47" s="12" t="s">
        <v>36</v>
      </c>
      <c r="I47" s="11" t="s">
        <v>201</v>
      </c>
      <c r="J47" s="12" t="s">
        <v>202</v>
      </c>
      <c r="K47" s="13" t="s">
        <v>39</v>
      </c>
      <c r="L47" s="11" t="str">
        <f>"000142"</f>
        <v>000142</v>
      </c>
      <c r="M47" s="10">
        <v>42826</v>
      </c>
      <c r="N47" s="11" t="str">
        <f>"000045"</f>
        <v>000045</v>
      </c>
      <c r="O47" s="10">
        <v>43157</v>
      </c>
      <c r="P47" s="11" t="str">
        <f>"000121"</f>
        <v>000121</v>
      </c>
      <c r="Q47" s="10">
        <v>43172</v>
      </c>
      <c r="R47" s="11"/>
      <c r="S47" s="11" t="str">
        <f>"009339"</f>
        <v>009339</v>
      </c>
      <c r="T47" s="10">
        <v>43518</v>
      </c>
      <c r="U47" s="14">
        <v>9.54983</v>
      </c>
      <c r="V47" s="14">
        <v>0.32993</v>
      </c>
      <c r="W47" s="14">
        <v>9.2199000000000009</v>
      </c>
      <c r="X47" s="11">
        <v>360</v>
      </c>
      <c r="Y47" s="10">
        <v>43521</v>
      </c>
      <c r="Z47" s="11">
        <v>9980823105</v>
      </c>
      <c r="AA47" s="12" t="s">
        <v>203</v>
      </c>
      <c r="AB47" s="11" t="s">
        <v>60</v>
      </c>
      <c r="AC47" s="12" t="s">
        <v>61</v>
      </c>
      <c r="AD47" s="11" t="s">
        <v>62</v>
      </c>
      <c r="AE47" s="12" t="s">
        <v>63</v>
      </c>
      <c r="AF47" s="14">
        <f t="shared" si="0"/>
        <v>9.5498299999999994E-2</v>
      </c>
      <c r="AG47" s="11" t="s">
        <v>45</v>
      </c>
    </row>
    <row r="48" spans="1:33" x14ac:dyDescent="0.2">
      <c r="A48" s="8">
        <v>9666</v>
      </c>
      <c r="B48" s="9" t="s">
        <v>204</v>
      </c>
      <c r="C48" s="10">
        <v>43539</v>
      </c>
      <c r="D48" s="11">
        <v>13</v>
      </c>
      <c r="E48" s="12" t="s">
        <v>34</v>
      </c>
      <c r="F48" s="12" t="s">
        <v>35</v>
      </c>
      <c r="G48" s="12" t="s">
        <v>36</v>
      </c>
      <c r="H48" s="12" t="s">
        <v>36</v>
      </c>
      <c r="I48" s="11" t="s">
        <v>205</v>
      </c>
      <c r="J48" s="12" t="s">
        <v>206</v>
      </c>
      <c r="K48" s="13" t="s">
        <v>72</v>
      </c>
      <c r="L48" s="11" t="str">
        <f>"000147"</f>
        <v>000147</v>
      </c>
      <c r="M48" s="10">
        <v>42818</v>
      </c>
      <c r="N48" s="11" t="str">
        <f>"000028"</f>
        <v>000028</v>
      </c>
      <c r="O48" s="10">
        <v>42905</v>
      </c>
      <c r="P48" s="11" t="str">
        <f>"000117"</f>
        <v>000117</v>
      </c>
      <c r="Q48" s="10">
        <v>42916</v>
      </c>
      <c r="R48" s="11"/>
      <c r="S48" s="11" t="str">
        <f>"009719"</f>
        <v>009719</v>
      </c>
      <c r="T48" s="10">
        <v>43538</v>
      </c>
      <c r="U48" s="14">
        <v>9.9405000000000001</v>
      </c>
      <c r="V48" s="14">
        <v>0.73063999999999996</v>
      </c>
      <c r="W48" s="14">
        <v>9.2098600000000008</v>
      </c>
      <c r="X48" s="11">
        <v>376</v>
      </c>
      <c r="Y48" s="10">
        <v>43539</v>
      </c>
      <c r="Z48" s="11">
        <v>9980792920</v>
      </c>
      <c r="AA48" s="12" t="s">
        <v>207</v>
      </c>
      <c r="AB48" s="11" t="s">
        <v>60</v>
      </c>
      <c r="AC48" s="12" t="s">
        <v>61</v>
      </c>
      <c r="AD48" s="11" t="s">
        <v>62</v>
      </c>
      <c r="AE48" s="12" t="s">
        <v>63</v>
      </c>
      <c r="AF48" s="14">
        <f t="shared" si="0"/>
        <v>9.9405000000000007E-2</v>
      </c>
      <c r="AG48" s="11" t="s">
        <v>45</v>
      </c>
    </row>
    <row r="49" spans="1:33" x14ac:dyDescent="0.2">
      <c r="A49" s="8">
        <v>9699</v>
      </c>
      <c r="B49" s="9" t="s">
        <v>204</v>
      </c>
      <c r="C49" s="10">
        <v>43539</v>
      </c>
      <c r="D49" s="11">
        <v>13</v>
      </c>
      <c r="E49" s="12" t="s">
        <v>34</v>
      </c>
      <c r="F49" s="12" t="s">
        <v>35</v>
      </c>
      <c r="G49" s="12" t="s">
        <v>36</v>
      </c>
      <c r="H49" s="12" t="s">
        <v>36</v>
      </c>
      <c r="I49" s="11" t="s">
        <v>208</v>
      </c>
      <c r="J49" s="12" t="s">
        <v>209</v>
      </c>
      <c r="K49" s="13" t="s">
        <v>58</v>
      </c>
      <c r="L49" s="11" t="str">
        <f>"000049"</f>
        <v>000049</v>
      </c>
      <c r="M49" s="10">
        <v>42857</v>
      </c>
      <c r="N49" s="11" t="str">
        <f>"000140"</f>
        <v>000140</v>
      </c>
      <c r="O49" s="10">
        <v>42916</v>
      </c>
      <c r="P49" s="11" t="str">
        <f>"000140"</f>
        <v>000140</v>
      </c>
      <c r="Q49" s="10">
        <v>42916</v>
      </c>
      <c r="R49" s="11"/>
      <c r="S49" s="11" t="str">
        <f>"009760"</f>
        <v>009760</v>
      </c>
      <c r="T49" s="10">
        <v>43538</v>
      </c>
      <c r="U49" s="14">
        <v>24.642600000000002</v>
      </c>
      <c r="V49" s="14">
        <v>3.2597800000000001</v>
      </c>
      <c r="W49" s="14">
        <v>21.382819999999999</v>
      </c>
      <c r="X49" s="11">
        <v>376</v>
      </c>
      <c r="Y49" s="10">
        <v>43539</v>
      </c>
      <c r="Z49" s="11">
        <v>9449219009</v>
      </c>
      <c r="AA49" s="12" t="s">
        <v>40</v>
      </c>
      <c r="AB49" s="11" t="s">
        <v>74</v>
      </c>
      <c r="AC49" s="12" t="s">
        <v>75</v>
      </c>
      <c r="AD49" s="11" t="s">
        <v>62</v>
      </c>
      <c r="AE49" s="12" t="s">
        <v>63</v>
      </c>
      <c r="AF49" s="14">
        <f t="shared" si="0"/>
        <v>0.24642600000000001</v>
      </c>
      <c r="AG49" s="11" t="s">
        <v>45</v>
      </c>
    </row>
    <row r="50" spans="1:33" x14ac:dyDescent="0.2">
      <c r="A50" s="8">
        <v>9700</v>
      </c>
      <c r="B50" s="9" t="s">
        <v>204</v>
      </c>
      <c r="C50" s="10">
        <v>43539</v>
      </c>
      <c r="D50" s="11">
        <v>13</v>
      </c>
      <c r="E50" s="12" t="s">
        <v>34</v>
      </c>
      <c r="F50" s="12" t="s">
        <v>35</v>
      </c>
      <c r="G50" s="12" t="s">
        <v>36</v>
      </c>
      <c r="H50" s="12" t="s">
        <v>36</v>
      </c>
      <c r="I50" s="11" t="s">
        <v>210</v>
      </c>
      <c r="J50" s="12" t="s">
        <v>211</v>
      </c>
      <c r="K50" s="13" t="s">
        <v>72</v>
      </c>
      <c r="L50" s="11" t="str">
        <f>"000056"</f>
        <v>000056</v>
      </c>
      <c r="M50" s="10">
        <v>42857</v>
      </c>
      <c r="N50" s="11" t="str">
        <f>"000052"</f>
        <v>000052</v>
      </c>
      <c r="O50" s="10">
        <v>42916</v>
      </c>
      <c r="P50" s="11" t="str">
        <f>"000141"</f>
        <v>000141</v>
      </c>
      <c r="Q50" s="10">
        <v>42916</v>
      </c>
      <c r="R50" s="11"/>
      <c r="S50" s="11" t="str">
        <f>"009761"</f>
        <v>009761</v>
      </c>
      <c r="T50" s="10">
        <v>43538</v>
      </c>
      <c r="U50" s="14">
        <v>49.528480000000002</v>
      </c>
      <c r="V50" s="14">
        <v>6.6254400000000002</v>
      </c>
      <c r="W50" s="14">
        <v>42.903039999999997</v>
      </c>
      <c r="X50" s="11">
        <v>376</v>
      </c>
      <c r="Y50" s="10">
        <v>43539</v>
      </c>
      <c r="Z50" s="11">
        <v>9449219009</v>
      </c>
      <c r="AA50" s="12" t="s">
        <v>40</v>
      </c>
      <c r="AB50" s="11" t="s">
        <v>84</v>
      </c>
      <c r="AC50" s="12" t="s">
        <v>85</v>
      </c>
      <c r="AD50" s="11" t="s">
        <v>62</v>
      </c>
      <c r="AE50" s="12" t="s">
        <v>63</v>
      </c>
      <c r="AF50" s="14">
        <f t="shared" si="0"/>
        <v>0.49528480000000003</v>
      </c>
      <c r="AG50" s="11" t="s">
        <v>45</v>
      </c>
    </row>
    <row r="51" spans="1:33" x14ac:dyDescent="0.2">
      <c r="A51" s="8">
        <v>9712</v>
      </c>
      <c r="B51" s="9" t="s">
        <v>204</v>
      </c>
      <c r="C51" s="10">
        <v>43539</v>
      </c>
      <c r="D51" s="11">
        <v>13</v>
      </c>
      <c r="E51" s="12" t="s">
        <v>34</v>
      </c>
      <c r="F51" s="12" t="s">
        <v>35</v>
      </c>
      <c r="G51" s="12" t="s">
        <v>36</v>
      </c>
      <c r="H51" s="12" t="s">
        <v>36</v>
      </c>
      <c r="I51" s="11" t="s">
        <v>212</v>
      </c>
      <c r="J51" s="12" t="s">
        <v>213</v>
      </c>
      <c r="K51" s="13" t="s">
        <v>58</v>
      </c>
      <c r="L51" s="11" t="str">
        <f>"000052"</f>
        <v>000052</v>
      </c>
      <c r="M51" s="10">
        <v>42857</v>
      </c>
      <c r="N51" s="11" t="str">
        <f>"000057"</f>
        <v>000057</v>
      </c>
      <c r="O51" s="10">
        <v>42916</v>
      </c>
      <c r="P51" s="11" t="str">
        <f>"000146"</f>
        <v>000146</v>
      </c>
      <c r="Q51" s="10">
        <v>42916</v>
      </c>
      <c r="R51" s="11"/>
      <c r="S51" s="11" t="str">
        <f>"009773"</f>
        <v>009773</v>
      </c>
      <c r="T51" s="10">
        <v>43538</v>
      </c>
      <c r="U51" s="14">
        <v>49.600960000000001</v>
      </c>
      <c r="V51" s="14">
        <v>6.5628000000000002</v>
      </c>
      <c r="W51" s="14">
        <v>43.038159999999998</v>
      </c>
      <c r="X51" s="11">
        <v>376</v>
      </c>
      <c r="Y51" s="10">
        <v>43539</v>
      </c>
      <c r="Z51" s="11">
        <v>9449219009</v>
      </c>
      <c r="AA51" s="12" t="s">
        <v>40</v>
      </c>
      <c r="AB51" s="11" t="s">
        <v>84</v>
      </c>
      <c r="AC51" s="12" t="s">
        <v>85</v>
      </c>
      <c r="AD51" s="11" t="s">
        <v>62</v>
      </c>
      <c r="AE51" s="12" t="s">
        <v>63</v>
      </c>
      <c r="AF51" s="14">
        <f t="shared" si="0"/>
        <v>0.49600959999999999</v>
      </c>
      <c r="AG51" s="11" t="s">
        <v>45</v>
      </c>
    </row>
    <row r="52" spans="1:33" x14ac:dyDescent="0.2">
      <c r="A52" s="8">
        <v>9715</v>
      </c>
      <c r="B52" s="9" t="s">
        <v>204</v>
      </c>
      <c r="C52" s="10">
        <v>43539</v>
      </c>
      <c r="D52" s="11">
        <v>13</v>
      </c>
      <c r="E52" s="12" t="s">
        <v>34</v>
      </c>
      <c r="F52" s="12" t="s">
        <v>35</v>
      </c>
      <c r="G52" s="12" t="s">
        <v>36</v>
      </c>
      <c r="H52" s="12" t="s">
        <v>36</v>
      </c>
      <c r="I52" s="11" t="s">
        <v>214</v>
      </c>
      <c r="J52" s="12" t="s">
        <v>215</v>
      </c>
      <c r="K52" s="13" t="s">
        <v>58</v>
      </c>
      <c r="L52" s="11" t="str">
        <f>"000048"</f>
        <v>000048</v>
      </c>
      <c r="M52" s="10">
        <v>42857</v>
      </c>
      <c r="N52" s="11" t="str">
        <f>"000147"</f>
        <v>000147</v>
      </c>
      <c r="O52" s="10">
        <v>42916</v>
      </c>
      <c r="P52" s="11" t="str">
        <f>"000147"</f>
        <v>000147</v>
      </c>
      <c r="Q52" s="10">
        <v>42916</v>
      </c>
      <c r="R52" s="11"/>
      <c r="S52" s="11" t="str">
        <f>"009776"</f>
        <v>009776</v>
      </c>
      <c r="T52" s="10">
        <v>43538</v>
      </c>
      <c r="U52" s="14">
        <v>49.976669999999999</v>
      </c>
      <c r="V52" s="14">
        <v>6.6600599999999996</v>
      </c>
      <c r="W52" s="14">
        <v>43.316609999999997</v>
      </c>
      <c r="X52" s="11">
        <v>376</v>
      </c>
      <c r="Y52" s="10">
        <v>43539</v>
      </c>
      <c r="Z52" s="11">
        <v>9449219009</v>
      </c>
      <c r="AA52" s="12" t="s">
        <v>40</v>
      </c>
      <c r="AB52" s="11" t="s">
        <v>74</v>
      </c>
      <c r="AC52" s="12" t="s">
        <v>75</v>
      </c>
      <c r="AD52" s="11" t="s">
        <v>62</v>
      </c>
      <c r="AE52" s="12" t="s">
        <v>63</v>
      </c>
      <c r="AF52" s="14">
        <f t="shared" si="0"/>
        <v>0.49976670000000001</v>
      </c>
      <c r="AG52" s="11" t="s">
        <v>45</v>
      </c>
    </row>
    <row r="53" spans="1:33" x14ac:dyDescent="0.2">
      <c r="A53" s="8">
        <v>9722</v>
      </c>
      <c r="B53" s="9" t="s">
        <v>204</v>
      </c>
      <c r="C53" s="10">
        <v>43540</v>
      </c>
      <c r="D53" s="11">
        <v>13</v>
      </c>
      <c r="E53" s="12" t="s">
        <v>34</v>
      </c>
      <c r="F53" s="12" t="s">
        <v>35</v>
      </c>
      <c r="G53" s="12" t="s">
        <v>36</v>
      </c>
      <c r="H53" s="12" t="s">
        <v>36</v>
      </c>
      <c r="I53" s="11" t="s">
        <v>216</v>
      </c>
      <c r="J53" s="12" t="s">
        <v>217</v>
      </c>
      <c r="K53" s="13" t="s">
        <v>218</v>
      </c>
      <c r="L53" s="11" t="str">
        <f>"000286"</f>
        <v>000286</v>
      </c>
      <c r="M53" s="10">
        <v>43455</v>
      </c>
      <c r="N53" s="11" t="str">
        <f>"000074"</f>
        <v>000074</v>
      </c>
      <c r="O53" s="10">
        <v>43468</v>
      </c>
      <c r="P53" s="11" t="str">
        <f>"000288"</f>
        <v>000288</v>
      </c>
      <c r="Q53" s="10">
        <v>43474</v>
      </c>
      <c r="R53" s="11"/>
      <c r="S53" s="11" t="str">
        <f>"009686"</f>
        <v>009686</v>
      </c>
      <c r="T53" s="10">
        <v>43537</v>
      </c>
      <c r="U53" s="14">
        <v>3.5704500000000001</v>
      </c>
      <c r="V53" s="14">
        <v>0.13872999999999999</v>
      </c>
      <c r="W53" s="14">
        <v>3.4317199999999999</v>
      </c>
      <c r="X53" s="11">
        <v>377</v>
      </c>
      <c r="Y53" s="10">
        <v>43540</v>
      </c>
      <c r="Z53" s="11">
        <v>9845937211</v>
      </c>
      <c r="AA53" s="12" t="s">
        <v>219</v>
      </c>
      <c r="AB53" s="11" t="s">
        <v>180</v>
      </c>
      <c r="AC53" s="12" t="s">
        <v>181</v>
      </c>
      <c r="AD53" s="11" t="s">
        <v>62</v>
      </c>
      <c r="AE53" s="12" t="s">
        <v>63</v>
      </c>
      <c r="AF53" s="14">
        <f t="shared" si="0"/>
        <v>3.57045E-2</v>
      </c>
      <c r="AG53" s="11" t="s">
        <v>184</v>
      </c>
    </row>
    <row r="54" spans="1:33" x14ac:dyDescent="0.2">
      <c r="A54" s="8">
        <v>9723</v>
      </c>
      <c r="B54" s="9" t="s">
        <v>204</v>
      </c>
      <c r="C54" s="10">
        <v>43540</v>
      </c>
      <c r="D54" s="11">
        <v>13</v>
      </c>
      <c r="E54" s="12" t="s">
        <v>34</v>
      </c>
      <c r="F54" s="12" t="s">
        <v>35</v>
      </c>
      <c r="G54" s="12" t="s">
        <v>36</v>
      </c>
      <c r="H54" s="12" t="s">
        <v>36</v>
      </c>
      <c r="I54" s="11" t="s">
        <v>220</v>
      </c>
      <c r="J54" s="12" t="s">
        <v>221</v>
      </c>
      <c r="K54" s="13" t="s">
        <v>218</v>
      </c>
      <c r="L54" s="11" t="str">
        <f>"000287"</f>
        <v>000287</v>
      </c>
      <c r="M54" s="10">
        <v>43455</v>
      </c>
      <c r="N54" s="11" t="str">
        <f>"000075"</f>
        <v>000075</v>
      </c>
      <c r="O54" s="10">
        <v>43468</v>
      </c>
      <c r="P54" s="11" t="str">
        <f>"000287"</f>
        <v>000287</v>
      </c>
      <c r="Q54" s="10">
        <v>43474</v>
      </c>
      <c r="R54" s="11"/>
      <c r="S54" s="11" t="str">
        <f>"009687"</f>
        <v>009687</v>
      </c>
      <c r="T54" s="10">
        <v>43537</v>
      </c>
      <c r="U54" s="14">
        <v>4.5798100000000002</v>
      </c>
      <c r="V54" s="14">
        <v>0.20014000000000001</v>
      </c>
      <c r="W54" s="14">
        <v>4.37967</v>
      </c>
      <c r="X54" s="11">
        <v>377</v>
      </c>
      <c r="Y54" s="10">
        <v>43540</v>
      </c>
      <c r="Z54" s="11">
        <v>9845937211</v>
      </c>
      <c r="AA54" s="12" t="s">
        <v>222</v>
      </c>
      <c r="AB54" s="11" t="s">
        <v>180</v>
      </c>
      <c r="AC54" s="12" t="s">
        <v>181</v>
      </c>
      <c r="AD54" s="11" t="s">
        <v>62</v>
      </c>
      <c r="AE54" s="12" t="s">
        <v>63</v>
      </c>
      <c r="AF54" s="14">
        <f t="shared" si="0"/>
        <v>4.5798100000000001E-2</v>
      </c>
      <c r="AG54" s="11" t="s">
        <v>184</v>
      </c>
    </row>
    <row r="55" spans="1:33" x14ac:dyDescent="0.2">
      <c r="A55" s="8">
        <v>9894</v>
      </c>
      <c r="B55" s="9" t="s">
        <v>204</v>
      </c>
      <c r="C55" s="10">
        <v>43552</v>
      </c>
      <c r="D55" s="11">
        <v>13</v>
      </c>
      <c r="E55" s="12" t="s">
        <v>34</v>
      </c>
      <c r="F55" s="12" t="s">
        <v>35</v>
      </c>
      <c r="G55" s="12" t="s">
        <v>36</v>
      </c>
      <c r="H55" s="12" t="s">
        <v>36</v>
      </c>
      <c r="I55" s="11" t="s">
        <v>223</v>
      </c>
      <c r="J55" s="12" t="s">
        <v>224</v>
      </c>
      <c r="K55" s="13" t="s">
        <v>58</v>
      </c>
      <c r="L55" s="11" t="str">
        <f>"000055"</f>
        <v>000055</v>
      </c>
      <c r="M55" s="10">
        <v>42857</v>
      </c>
      <c r="N55" s="11" t="str">
        <f>"000148"</f>
        <v>000148</v>
      </c>
      <c r="O55" s="10">
        <v>42916</v>
      </c>
      <c r="P55" s="11" t="str">
        <f>"000148"</f>
        <v>000148</v>
      </c>
      <c r="Q55" s="10">
        <v>42916</v>
      </c>
      <c r="R55" s="11"/>
      <c r="S55" s="11" t="str">
        <f>"009900"</f>
        <v>009900</v>
      </c>
      <c r="T55" s="10">
        <v>43549</v>
      </c>
      <c r="U55" s="14">
        <v>49.664430000000003</v>
      </c>
      <c r="V55" s="14">
        <v>6.62019</v>
      </c>
      <c r="W55" s="14">
        <v>43.044240000000002</v>
      </c>
      <c r="X55" s="11">
        <v>388</v>
      </c>
      <c r="Y55" s="10">
        <v>43552</v>
      </c>
      <c r="Z55" s="11">
        <v>9449219009</v>
      </c>
      <c r="AA55" s="12" t="s">
        <v>40</v>
      </c>
      <c r="AB55" s="11" t="s">
        <v>74</v>
      </c>
      <c r="AC55" s="12" t="s">
        <v>75</v>
      </c>
      <c r="AD55" s="11" t="s">
        <v>62</v>
      </c>
      <c r="AE55" s="12" t="s">
        <v>63</v>
      </c>
      <c r="AF55" s="14">
        <f t="shared" si="0"/>
        <v>0.49664430000000004</v>
      </c>
      <c r="AG55" s="11" t="s">
        <v>45</v>
      </c>
    </row>
    <row r="56" spans="1:33" x14ac:dyDescent="0.2">
      <c r="A56" s="8">
        <v>9944</v>
      </c>
      <c r="B56" s="9" t="s">
        <v>204</v>
      </c>
      <c r="C56" s="10">
        <v>43552</v>
      </c>
      <c r="D56" s="11">
        <v>13</v>
      </c>
      <c r="E56" s="12" t="s">
        <v>34</v>
      </c>
      <c r="F56" s="12" t="s">
        <v>35</v>
      </c>
      <c r="G56" s="12" t="s">
        <v>36</v>
      </c>
      <c r="H56" s="12" t="s">
        <v>36</v>
      </c>
      <c r="I56" s="11" t="s">
        <v>225</v>
      </c>
      <c r="J56" s="12" t="s">
        <v>226</v>
      </c>
      <c r="K56" s="13" t="s">
        <v>72</v>
      </c>
      <c r="L56" s="11" t="str">
        <f>"000069"</f>
        <v>000069</v>
      </c>
      <c r="M56" s="10">
        <v>42866</v>
      </c>
      <c r="N56" s="11" t="str">
        <f>"000061"</f>
        <v>000061</v>
      </c>
      <c r="O56" s="10">
        <v>42916</v>
      </c>
      <c r="P56" s="11" t="str">
        <f>"000168"</f>
        <v>000168</v>
      </c>
      <c r="Q56" s="10">
        <v>42916</v>
      </c>
      <c r="R56" s="11"/>
      <c r="S56" s="11" t="str">
        <f>"009950"</f>
        <v>009950</v>
      </c>
      <c r="T56" s="10">
        <v>43549</v>
      </c>
      <c r="U56" s="14">
        <v>17.071719999999999</v>
      </c>
      <c r="V56" s="14">
        <v>1.24478</v>
      </c>
      <c r="W56" s="14">
        <v>15.82694</v>
      </c>
      <c r="X56" s="11">
        <v>388</v>
      </c>
      <c r="Y56" s="10">
        <v>43552</v>
      </c>
      <c r="Z56" s="11">
        <v>9901829745</v>
      </c>
      <c r="AA56" s="12" t="s">
        <v>227</v>
      </c>
      <c r="AB56" s="11" t="s">
        <v>60</v>
      </c>
      <c r="AC56" s="12" t="s">
        <v>61</v>
      </c>
      <c r="AD56" s="11" t="s">
        <v>62</v>
      </c>
      <c r="AE56" s="12" t="s">
        <v>63</v>
      </c>
      <c r="AF56" s="14">
        <f t="shared" si="0"/>
        <v>0.17071719999999999</v>
      </c>
      <c r="AG56" s="11" t="s">
        <v>45</v>
      </c>
    </row>
    <row r="57" spans="1:33" x14ac:dyDescent="0.2">
      <c r="A57" s="8">
        <v>9945</v>
      </c>
      <c r="B57" s="9" t="s">
        <v>204</v>
      </c>
      <c r="C57" s="10">
        <v>43552</v>
      </c>
      <c r="D57" s="11">
        <v>13</v>
      </c>
      <c r="E57" s="12" t="s">
        <v>34</v>
      </c>
      <c r="F57" s="12" t="s">
        <v>35</v>
      </c>
      <c r="G57" s="12" t="s">
        <v>36</v>
      </c>
      <c r="H57" s="12" t="s">
        <v>36</v>
      </c>
      <c r="I57" s="11" t="s">
        <v>228</v>
      </c>
      <c r="J57" s="12" t="s">
        <v>229</v>
      </c>
      <c r="K57" s="13" t="s">
        <v>72</v>
      </c>
      <c r="L57" s="11" t="str">
        <f>"000057"</f>
        <v>000057</v>
      </c>
      <c r="M57" s="10">
        <v>42857</v>
      </c>
      <c r="N57" s="11" t="str">
        <f>"000062"</f>
        <v>000062</v>
      </c>
      <c r="O57" s="10">
        <v>42916</v>
      </c>
      <c r="P57" s="11" t="str">
        <f>"000169"</f>
        <v>000169</v>
      </c>
      <c r="Q57" s="10">
        <v>42916</v>
      </c>
      <c r="R57" s="11"/>
      <c r="S57" s="11" t="str">
        <f>"009951"</f>
        <v>009951</v>
      </c>
      <c r="T57" s="10">
        <v>43549</v>
      </c>
      <c r="U57" s="14">
        <v>49.518659999999997</v>
      </c>
      <c r="V57" s="14">
        <v>6.6207399999999996</v>
      </c>
      <c r="W57" s="14">
        <v>42.897919999999999</v>
      </c>
      <c r="X57" s="11">
        <v>388</v>
      </c>
      <c r="Y57" s="10">
        <v>43552</v>
      </c>
      <c r="Z57" s="11">
        <v>9449219009</v>
      </c>
      <c r="AA57" s="12" t="s">
        <v>40</v>
      </c>
      <c r="AB57" s="11" t="s">
        <v>84</v>
      </c>
      <c r="AC57" s="12" t="s">
        <v>85</v>
      </c>
      <c r="AD57" s="11" t="s">
        <v>62</v>
      </c>
      <c r="AE57" s="12" t="s">
        <v>63</v>
      </c>
      <c r="AF57" s="14">
        <f t="shared" si="0"/>
        <v>0.49518659999999998</v>
      </c>
      <c r="AG57" s="11" t="s">
        <v>45</v>
      </c>
    </row>
    <row r="58" spans="1:33" x14ac:dyDescent="0.2">
      <c r="A58" s="8">
        <v>9946</v>
      </c>
      <c r="B58" s="9" t="s">
        <v>204</v>
      </c>
      <c r="C58" s="10">
        <v>43552</v>
      </c>
      <c r="D58" s="11">
        <v>13</v>
      </c>
      <c r="E58" s="12" t="s">
        <v>34</v>
      </c>
      <c r="F58" s="12" t="s">
        <v>35</v>
      </c>
      <c r="G58" s="12" t="s">
        <v>36</v>
      </c>
      <c r="H58" s="12" t="s">
        <v>36</v>
      </c>
      <c r="I58" s="11" t="s">
        <v>230</v>
      </c>
      <c r="J58" s="12" t="s">
        <v>231</v>
      </c>
      <c r="K58" s="13" t="s">
        <v>72</v>
      </c>
      <c r="L58" s="11" t="str">
        <f>"000047"</f>
        <v>000047</v>
      </c>
      <c r="M58" s="10">
        <v>42857</v>
      </c>
      <c r="N58" s="11" t="str">
        <f>"000063"</f>
        <v>000063</v>
      </c>
      <c r="O58" s="10">
        <v>42916</v>
      </c>
      <c r="P58" s="11" t="str">
        <f>"000170"</f>
        <v>000170</v>
      </c>
      <c r="Q58" s="10">
        <v>42916</v>
      </c>
      <c r="R58" s="11"/>
      <c r="S58" s="11" t="str">
        <f>"009952"</f>
        <v>009952</v>
      </c>
      <c r="T58" s="10">
        <v>43549</v>
      </c>
      <c r="U58" s="14">
        <v>49.207610000000003</v>
      </c>
      <c r="V58" s="14">
        <v>6.5366200000000001</v>
      </c>
      <c r="W58" s="14">
        <v>42.670990000000003</v>
      </c>
      <c r="X58" s="11">
        <v>388</v>
      </c>
      <c r="Y58" s="10">
        <v>43552</v>
      </c>
      <c r="Z58" s="11">
        <v>9449219009</v>
      </c>
      <c r="AA58" s="12" t="s">
        <v>40</v>
      </c>
      <c r="AB58" s="11" t="s">
        <v>74</v>
      </c>
      <c r="AC58" s="12" t="s">
        <v>75</v>
      </c>
      <c r="AD58" s="11" t="s">
        <v>62</v>
      </c>
      <c r="AE58" s="12" t="s">
        <v>63</v>
      </c>
      <c r="AF58" s="14">
        <f t="shared" si="0"/>
        <v>0.49207610000000002</v>
      </c>
      <c r="AG58" s="11" t="s">
        <v>45</v>
      </c>
    </row>
    <row r="59" spans="1:33" x14ac:dyDescent="0.2">
      <c r="A59" s="8">
        <v>10000</v>
      </c>
      <c r="B59" s="9" t="s">
        <v>204</v>
      </c>
      <c r="C59" s="10">
        <v>43552</v>
      </c>
      <c r="D59" s="11">
        <v>13</v>
      </c>
      <c r="E59" s="12" t="s">
        <v>34</v>
      </c>
      <c r="F59" s="12" t="s">
        <v>35</v>
      </c>
      <c r="G59" s="12" t="s">
        <v>36</v>
      </c>
      <c r="H59" s="12" t="s">
        <v>36</v>
      </c>
      <c r="I59" s="11" t="s">
        <v>232</v>
      </c>
      <c r="J59" s="12" t="s">
        <v>233</v>
      </c>
      <c r="K59" s="13" t="s">
        <v>58</v>
      </c>
      <c r="L59" s="11" t="str">
        <f>"000114"</f>
        <v>000114</v>
      </c>
      <c r="M59" s="10">
        <v>42907</v>
      </c>
      <c r="N59" s="11" t="str">
        <f>"000065"</f>
        <v>000065</v>
      </c>
      <c r="O59" s="10">
        <v>42916</v>
      </c>
      <c r="P59" s="11" t="str">
        <f>"000174"</f>
        <v>000174</v>
      </c>
      <c r="Q59" s="10">
        <v>42916</v>
      </c>
      <c r="R59" s="11"/>
      <c r="S59" s="11" t="str">
        <f>"010062"</f>
        <v>010062</v>
      </c>
      <c r="T59" s="10">
        <v>43552</v>
      </c>
      <c r="U59" s="14">
        <v>49.785080000000001</v>
      </c>
      <c r="V59" s="14">
        <v>6.6463000000000001</v>
      </c>
      <c r="W59" s="14">
        <v>43.138779999999997</v>
      </c>
      <c r="X59" s="11">
        <v>390</v>
      </c>
      <c r="Y59" s="10">
        <v>43552</v>
      </c>
      <c r="Z59" s="11">
        <v>9449219009</v>
      </c>
      <c r="AA59" s="12" t="s">
        <v>40</v>
      </c>
      <c r="AB59" s="11" t="s">
        <v>84</v>
      </c>
      <c r="AC59" s="12" t="s">
        <v>85</v>
      </c>
      <c r="AD59" s="11" t="s">
        <v>62</v>
      </c>
      <c r="AE59" s="12" t="s">
        <v>63</v>
      </c>
      <c r="AF59" s="14">
        <f t="shared" si="0"/>
        <v>0.49785079999999998</v>
      </c>
      <c r="AG59" s="11" t="s">
        <v>45</v>
      </c>
    </row>
    <row r="60" spans="1:33" x14ac:dyDescent="0.2">
      <c r="A60" s="8">
        <v>10108</v>
      </c>
      <c r="B60" s="9" t="s">
        <v>204</v>
      </c>
      <c r="C60" s="10">
        <v>43552</v>
      </c>
      <c r="D60" s="11">
        <v>13</v>
      </c>
      <c r="E60" s="12" t="s">
        <v>34</v>
      </c>
      <c r="F60" s="12" t="s">
        <v>35</v>
      </c>
      <c r="G60" s="12" t="s">
        <v>36</v>
      </c>
      <c r="H60" s="12" t="s">
        <v>36</v>
      </c>
      <c r="I60" s="11" t="s">
        <v>234</v>
      </c>
      <c r="J60" s="12" t="s">
        <v>235</v>
      </c>
      <c r="K60" s="13" t="s">
        <v>178</v>
      </c>
      <c r="L60" s="11" t="str">
        <f>"000011"</f>
        <v>000011</v>
      </c>
      <c r="M60" s="10">
        <v>42916</v>
      </c>
      <c r="N60" s="11" t="str">
        <f>"000003"</f>
        <v>000003</v>
      </c>
      <c r="O60" s="10">
        <v>43074</v>
      </c>
      <c r="P60" s="11" t="str">
        <f>"000058"</f>
        <v>000058</v>
      </c>
      <c r="Q60" s="10">
        <v>43074</v>
      </c>
      <c r="R60" s="11"/>
      <c r="S60" s="11" t="str">
        <f>"010143"</f>
        <v>010143</v>
      </c>
      <c r="T60" s="10">
        <v>43552</v>
      </c>
      <c r="U60" s="14">
        <v>4.5</v>
      </c>
      <c r="V60" s="14">
        <v>9.5000000000000001E-2</v>
      </c>
      <c r="W60" s="14">
        <v>4.4050000000000002</v>
      </c>
      <c r="X60" s="11">
        <v>392</v>
      </c>
      <c r="Y60" s="10">
        <v>43552</v>
      </c>
      <c r="Z60" s="11">
        <v>8884965645</v>
      </c>
      <c r="AA60" s="12" t="s">
        <v>236</v>
      </c>
      <c r="AB60" s="11" t="s">
        <v>237</v>
      </c>
      <c r="AC60" s="12" t="s">
        <v>238</v>
      </c>
      <c r="AD60" s="11" t="s">
        <v>182</v>
      </c>
      <c r="AE60" s="12" t="s">
        <v>183</v>
      </c>
      <c r="AF60" s="14">
        <f t="shared" si="0"/>
        <v>4.4999999999999998E-2</v>
      </c>
      <c r="AG60" s="11" t="s">
        <v>45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2019-06-12T10:58:36Z</dcterms:modified>
</cp:coreProperties>
</file>