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0" i="1" l="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AF15" i="1"/>
  <c r="S15" i="1"/>
  <c r="P15" i="1"/>
  <c r="N15" i="1"/>
  <c r="L15" i="1"/>
  <c r="AF14" i="1"/>
  <c r="S14" i="1"/>
  <c r="P14" i="1"/>
  <c r="N14" i="1"/>
  <c r="L14" i="1"/>
  <c r="AF13"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<sst xmlns="http://schemas.openxmlformats.org/spreadsheetml/2006/main" count="439" uniqueCount="168">
  <si>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</si>
  <si>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</si>
  <si>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</si>
  <si>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</si>
  <si>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</si>
  <si>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</si>
  <si>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</si>
  <si>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</si>
  <si>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</si>
  <si>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</si>
  <si>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</si>
  <si>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</si>
  <si>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</si>
  <si>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</si>
  <si>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</si>
  <si>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</si>
  <si>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</si>
  <si>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</si>
  <si>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</si>
  <si>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</si>
  <si>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</si>
  <si>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</si>
  <si>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</si>
  <si>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</si>
  <si>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</si>
  <si>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</si>
  <si>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</si>
  <si>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</si>
  <si>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</si>
  <si>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</si>
  <si>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</si>
  <si>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</si>
  <si>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</si>
  <si>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</si>
  <si>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Nayanda Halli</t>
  </si>
  <si>
    <t>Chandra Layout</t>
  </si>
  <si>
    <t>Govindaraja Nagara</t>
  </si>
  <si>
    <t>West</t>
  </si>
  <si>
    <t>131-17-000033</t>
  </si>
  <si>
    <t xml:space="preserve">Providing drinking water works in Ward No 131 in Govindarajnagar Division </t>
  </si>
  <si>
    <t>Drinking Water</t>
  </si>
  <si>
    <t>Technical Manager West KRIDL</t>
  </si>
  <si>
    <t>P3110</t>
  </si>
  <si>
    <t>14th Finance Commission Grant Works</t>
  </si>
  <si>
    <t>ddo488</t>
  </si>
  <si>
    <t xml:space="preserve"> Assistant Executive Engineer Chandra Layout West Zone</t>
  </si>
  <si>
    <t>Pending</t>
  </si>
  <si>
    <t>131-18-000001</t>
  </si>
  <si>
    <t>Asphalting to roads and other improvements in 2nd main road Gangodanahalli, in ward no 131.</t>
  </si>
  <si>
    <t>Roads &amp; Drivablility</t>
  </si>
  <si>
    <t>P3111</t>
  </si>
  <si>
    <t>State Finance Commission Untied Grant Works</t>
  </si>
  <si>
    <t>June</t>
  </si>
  <si>
    <t>131-17-000044</t>
  </si>
  <si>
    <t>Engagement of Gangman and Hiring of Tractor Tippers for cleaning and Maintenance of road side drains and other cleaning works in works in ward no 131</t>
  </si>
  <si>
    <t>Other Ward Works</t>
  </si>
  <si>
    <t>Spill Over</t>
  </si>
  <si>
    <t>131-18-000010</t>
  </si>
  <si>
    <t>Improvements to CC Roads and Drains in Pantharapalya ward no 131.</t>
  </si>
  <si>
    <t xml:space="preserve">Technical Manager West KRIDL </t>
  </si>
  <si>
    <t>131-18-000011</t>
  </si>
  <si>
    <t>Emergency works in ward no 131.</t>
  </si>
  <si>
    <t>131-18-000047</t>
  </si>
  <si>
    <t>Construction of CC road drain and other works in Nayandahalli colony in ward no-131</t>
  </si>
  <si>
    <t>P1878</t>
  </si>
  <si>
    <t>18per - Works (Bhagyajyothi, Sooru / Neeru Yojane and General) (54 Lakhs / New Wards)</t>
  </si>
  <si>
    <t>July</t>
  </si>
  <si>
    <t>131-16-000007</t>
  </si>
  <si>
    <t>Improvments to road and drain in Nayandahalli in ward No 131</t>
  </si>
  <si>
    <t>Footpaths &amp; Walkability</t>
  </si>
  <si>
    <t>R Laxminarayana</t>
  </si>
  <si>
    <t>P1771</t>
  </si>
  <si>
    <t>Zone Works - POW Works</t>
  </si>
  <si>
    <t>131-17-000034</t>
  </si>
  <si>
    <t xml:space="preserve">Providing and fixing of LED Street lights in Ward No 131 in Govindarajnagar Division </t>
  </si>
  <si>
    <t>SAI ELECTRIC COM</t>
  </si>
  <si>
    <t>ddo209</t>
  </si>
  <si>
    <t xml:space="preserve"> Assistant Executive Engineer Electrical West Zone</t>
  </si>
  <si>
    <t>131-16-000001</t>
  </si>
  <si>
    <t>Annual Operation And maintenance Of Street Lights at Nyandahalli in Ward No- 131</t>
  </si>
  <si>
    <t>Sai Electric Com</t>
  </si>
  <si>
    <t>P0300</t>
  </si>
  <si>
    <t>M and R to Street Lights - Replacement of Burnt Bulbs etc. (Package)</t>
  </si>
  <si>
    <t>August</t>
  </si>
  <si>
    <t>131-16-000008</t>
  </si>
  <si>
    <t>Maintenance work engaging Labours and Tractor in ward No 131</t>
  </si>
  <si>
    <t>Health &amp; Sanitation</t>
  </si>
  <si>
    <t>Raghunath B P</t>
  </si>
  <si>
    <t>131-17-000001</t>
  </si>
  <si>
    <t>Providing borewells and water line connections in ward no 131</t>
  </si>
  <si>
    <t>Water &amp; Sanitary</t>
  </si>
  <si>
    <t>Technical Manger West KRIDL</t>
  </si>
  <si>
    <t>P0190</t>
  </si>
  <si>
    <t>Works sanctioned by Hon Mayor</t>
  </si>
  <si>
    <t>September</t>
  </si>
  <si>
    <t>131-18-000039</t>
  </si>
  <si>
    <t>Providing street lights and Maintenance in ward no 131 Nayandahalli</t>
  </si>
  <si>
    <t>Executive Engineer-2 KRIDL</t>
  </si>
  <si>
    <t>P3290</t>
  </si>
  <si>
    <t>14th Finance Commission Works - Providing Street Lights and Maintenance</t>
  </si>
  <si>
    <t>Current</t>
  </si>
  <si>
    <t>October</t>
  </si>
  <si>
    <t>131-17-000032</t>
  </si>
  <si>
    <t>Providing repairs and maintenance to existing borwells and providing water supply connections to water scarcity area in ward no-131</t>
  </si>
  <si>
    <t>Technical Manager west KRIDL</t>
  </si>
  <si>
    <t>P1802</t>
  </si>
  <si>
    <t>Water Supply New Areas</t>
  </si>
  <si>
    <t>131-18-000024</t>
  </si>
  <si>
    <t>Construction of RCC Box culvert across SWD in front of Arch mall of Nayandahalli ward.131</t>
  </si>
  <si>
    <t>Storm Water Drains</t>
  </si>
  <si>
    <t>PrakashBabu</t>
  </si>
  <si>
    <t>P3106</t>
  </si>
  <si>
    <t>Nagarothana Works</t>
  </si>
  <si>
    <t>ddo313</t>
  </si>
  <si>
    <t xml:space="preserve"> Chief Engineer SWD Central Zone</t>
  </si>
  <si>
    <t>November</t>
  </si>
  <si>
    <t>131-17-000029</t>
  </si>
  <si>
    <t>Construction of Meeting hall at 1st floor of Government School Nayanadahalli ward No 131</t>
  </si>
  <si>
    <t>Srinivas K</t>
  </si>
  <si>
    <t>131-17-000045</t>
  </si>
  <si>
    <t>Providing CC Camera at Garbage Block Spots in ward no 131</t>
  </si>
  <si>
    <t>Crime &amp; Safety</t>
  </si>
  <si>
    <t>December</t>
  </si>
  <si>
    <t>131-18-000035</t>
  </si>
  <si>
    <t>Restoration UGD road cut portion in ward no 131 Nayandahalli</t>
  </si>
  <si>
    <t>P3295</t>
  </si>
  <si>
    <t>14th Finance Commission Works - UGD Works</t>
  </si>
  <si>
    <t>131-17-000002</t>
  </si>
  <si>
    <t>Providing Asphalting and CC Roads and other Imporvements to drain in Tigalara badavane near Indian Oil petrol bunk in ward no 131</t>
  </si>
  <si>
    <t>131-17-000031</t>
  </si>
  <si>
    <t>Providing Asphalting and other improvements to Vinayaka Layout in ward no 131</t>
  </si>
  <si>
    <t>P3173</t>
  </si>
  <si>
    <t>Special Development works in ward No.124, 185, 98, 188, 10, 14, 16, 30, 28, 37, 42, 130, 159, 65, 66, 73, 79, 80, 90, 95, 94, 89, 108, 111, 115, 97, 105, 131, 133, 119, 125, 137, 143, 124, 158, 138, 83, 166, 182, 129, 165, 161, 04, 88, 27, 31, 32, 52, 44, 26, 07, 183, 178, 187 (Rs.100 lakhs per ward)</t>
  </si>
  <si>
    <t>131-17-000030</t>
  </si>
  <si>
    <t>Providing Asphalting and other improvements to Suvarna Badavane and ITI layout in ward no 131</t>
  </si>
  <si>
    <t>P3167</t>
  </si>
  <si>
    <t>Special Development works in ward No.119, 124, 131, 133, 157, 171, 177, 181, 192, 184, 185, 194, 155, 105, 90, 91, 92, 98, 09, 11, 02, 65 (Rs.100 lakhs per ward)</t>
  </si>
  <si>
    <t>131-17-000023</t>
  </si>
  <si>
    <t>Providing and Construction of community hall in Suvarna badavane in ward No 131</t>
  </si>
  <si>
    <t xml:space="preserve">Chethan Kumar H S </t>
  </si>
  <si>
    <t>January</t>
  </si>
  <si>
    <t>131-18-000049</t>
  </si>
  <si>
    <t xml:space="preserve">Development and beautification around Indira Kitchen of Govindarajanagar Ward no-131 </t>
  </si>
  <si>
    <t>Indira Canteen</t>
  </si>
  <si>
    <t>131-18-000050</t>
  </si>
  <si>
    <t xml:space="preserve">Development and beautification around Indira Canteen in Ward no- 131 </t>
  </si>
  <si>
    <t>February</t>
  </si>
  <si>
    <t>131-18-000052</t>
  </si>
  <si>
    <t xml:space="preserve">Providing illumination to indira Canteen at Nayandahalli surrounding in ward no -131(kitchen) </t>
  </si>
  <si>
    <t>Exeuctive Engineer-2 KRIDL</t>
  </si>
  <si>
    <t>131-18-000017</t>
  </si>
  <si>
    <t>Providing LED Light to Nayandahalli Under pass in ward no:131Govindarajanagar constituency.</t>
  </si>
  <si>
    <t>Executive Engineer-   KRIDL</t>
  </si>
  <si>
    <t>March</t>
  </si>
  <si>
    <t>131-18-000051</t>
  </si>
  <si>
    <t xml:space="preserve">Providing illumination to indira Canteen at Nayandahalli surrounding in ward no -131 </t>
  </si>
  <si>
    <t>131-18-000048</t>
  </si>
  <si>
    <t>Construction of CC road drain and other works in Pantarapalya colony in ward no-131</t>
  </si>
  <si>
    <t>131-18-000031</t>
  </si>
  <si>
    <t>Maintenance of cremotorium Burrial grounds and office maintenance n ward no 131 Nayandahalli</t>
  </si>
  <si>
    <t>Public Amenities</t>
  </si>
  <si>
    <t>P3291</t>
  </si>
  <si>
    <t>14th Fin  -Maintenance of Cremotorium, Burial Grounds</t>
  </si>
  <si>
    <t>131-18-000032</t>
  </si>
  <si>
    <t>Community Property maintenance (including parks) in ward no 131 Nayandahalli</t>
  </si>
  <si>
    <t>Trees, Parks &amp; Playgrounds</t>
  </si>
  <si>
    <t>P3292</t>
  </si>
  <si>
    <t>14th Finance Commission Works - Community Property Maintenance (including Parks)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</si>
</sst>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workbookViewId="0">
      <pane ySplit="1" topLeftCell="A2" activePane="bottomLeft" state="frozen"/>
      <selection activeCell="H1" sqref="H1"/>
      <selection pane="bottomLeft" activeCell="A2" sqref="A2:XFD30"/>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417</v>
      </c>
      <c r="B2" s="9" t="s">
        <v>33</v>
      </c>
      <c r="C2" s="10">
        <v>43200</v>
      </c>
      <c r="D2" s="11">
        <v>131</v>
      </c>
      <c r="E2" s="12" t="s">
        <v>34</v>
      </c>
      <c r="F2" s="12" t="s">
        <v>35</v>
      </c>
      <c r="G2" s="12" t="s">
        <v>36</v>
      </c>
      <c r="H2" s="12" t="s">
        <v>37</v>
      </c>
      <c r="I2" s="11" t="s">
        <v>38</v>
      </c>
      <c r="J2" s="12" t="s">
        <v>39</v>
      </c>
      <c r="K2" s="13" t="s">
        <v>40</v>
      </c>
      <c r="L2" s="11" t="str">
        <f>"000219"</f>
        <v>000219</v>
      </c>
      <c r="M2" s="10">
        <v>43153</v>
      </c>
      <c r="N2" s="11" t="str">
        <f>"000136"</f>
        <v>000136</v>
      </c>
      <c r="O2" s="10">
        <v>43187</v>
      </c>
      <c r="P2" s="11" t="str">
        <f>"000269"</f>
        <v>000269</v>
      </c>
      <c r="Q2" s="10">
        <v>43188</v>
      </c>
      <c r="R2" s="11">
        <v>17</v>
      </c>
      <c r="S2" s="11" t="str">
        <f>"000443"</f>
        <v>000443</v>
      </c>
      <c r="T2" s="10">
        <v>43199</v>
      </c>
      <c r="U2" s="14">
        <v>12.977499999999999</v>
      </c>
      <c r="V2" s="14">
        <v>1.2166999999999999</v>
      </c>
      <c r="W2" s="14">
        <v>11.7608</v>
      </c>
      <c r="X2" s="11">
        <v>13</v>
      </c>
      <c r="Y2" s="10">
        <v>43200</v>
      </c>
      <c r="Z2" s="11">
        <v>9900000000</v>
      </c>
      <c r="AA2" s="12" t="s">
        <v>41</v>
      </c>
      <c r="AB2" s="11" t="s">
        <v>42</v>
      </c>
      <c r="AC2" s="12" t="s">
        <v>43</v>
      </c>
      <c r="AD2" s="11" t="s">
        <v>44</v>
      </c>
      <c r="AE2" s="12" t="s">
        <v>45</v>
      </c>
      <c r="AF2" s="14">
        <v>0.129775</v>
      </c>
      <c r="AG2" s="11" t="s">
        <v>46</v>
      </c>
    </row>
    <row r="3" spans="1:33" x14ac:dyDescent="0.2">
      <c r="A3" s="8">
        <v>544</v>
      </c>
      <c r="B3" s="9" t="s">
        <v>33</v>
      </c>
      <c r="C3" s="10">
        <v>43203</v>
      </c>
      <c r="D3" s="11">
        <v>131</v>
      </c>
      <c r="E3" s="12" t="s">
        <v>34</v>
      </c>
      <c r="F3" s="12" t="s">
        <v>35</v>
      </c>
      <c r="G3" s="12" t="s">
        <v>36</v>
      </c>
      <c r="H3" s="12" t="s">
        <v>37</v>
      </c>
      <c r="I3" s="11" t="s">
        <v>47</v>
      </c>
      <c r="J3" s="12" t="s">
        <v>48</v>
      </c>
      <c r="K3" s="13" t="s">
        <v>49</v>
      </c>
      <c r="L3" s="11" t="str">
        <f>"000220"</f>
        <v>000220</v>
      </c>
      <c r="M3" s="10">
        <v>43153</v>
      </c>
      <c r="N3" s="11" t="str">
        <f>"000129"</f>
        <v>000129</v>
      </c>
      <c r="O3" s="10">
        <v>43186</v>
      </c>
      <c r="P3" s="11" t="str">
        <f>"000264"</f>
        <v>000264</v>
      </c>
      <c r="Q3" s="10">
        <v>43186</v>
      </c>
      <c r="R3" s="11">
        <v>18</v>
      </c>
      <c r="S3" s="11" t="str">
        <f>"000474"</f>
        <v>000474</v>
      </c>
      <c r="T3" s="10">
        <v>43201</v>
      </c>
      <c r="U3" s="14">
        <v>49.4938</v>
      </c>
      <c r="V3" s="14">
        <v>4.8521000000000001</v>
      </c>
      <c r="W3" s="14">
        <v>44.6417</v>
      </c>
      <c r="X3" s="11">
        <v>16</v>
      </c>
      <c r="Y3" s="10">
        <v>43203</v>
      </c>
      <c r="Z3" s="11">
        <v>9900000000</v>
      </c>
      <c r="AA3" s="12" t="s">
        <v>41</v>
      </c>
      <c r="AB3" s="11" t="s">
        <v>50</v>
      </c>
      <c r="AC3" s="12" t="s">
        <v>51</v>
      </c>
      <c r="AD3" s="11" t="s">
        <v>44</v>
      </c>
      <c r="AE3" s="12" t="s">
        <v>45</v>
      </c>
      <c r="AF3" s="14">
        <v>0.49493799999999999</v>
      </c>
      <c r="AG3" s="11" t="s">
        <v>46</v>
      </c>
    </row>
    <row r="4" spans="1:33" x14ac:dyDescent="0.2">
      <c r="A4" s="8">
        <v>1870</v>
      </c>
      <c r="B4" s="9" t="s">
        <v>52</v>
      </c>
      <c r="C4" s="10">
        <v>43257</v>
      </c>
      <c r="D4" s="11">
        <v>131</v>
      </c>
      <c r="E4" s="12" t="s">
        <v>34</v>
      </c>
      <c r="F4" s="12" t="s">
        <v>35</v>
      </c>
      <c r="G4" s="12" t="s">
        <v>36</v>
      </c>
      <c r="H4" s="12" t="s">
        <v>37</v>
      </c>
      <c r="I4" s="11" t="s">
        <v>53</v>
      </c>
      <c r="J4" s="12" t="s">
        <v>54</v>
      </c>
      <c r="K4" s="13" t="s">
        <v>55</v>
      </c>
      <c r="L4" s="11" t="str">
        <f>"000195"</f>
        <v>000195</v>
      </c>
      <c r="M4" s="10">
        <v>43137</v>
      </c>
      <c r="N4" s="11" t="str">
        <f>"000016"</f>
        <v>000016</v>
      </c>
      <c r="O4" s="10">
        <v>43222</v>
      </c>
      <c r="P4" s="11" t="str">
        <f>"000033"</f>
        <v>000033</v>
      </c>
      <c r="Q4" s="10">
        <v>43228</v>
      </c>
      <c r="R4" s="11">
        <v>17</v>
      </c>
      <c r="S4" s="11" t="str">
        <f>"002022"</f>
        <v>002022</v>
      </c>
      <c r="T4" s="10">
        <v>43248</v>
      </c>
      <c r="U4" s="14">
        <v>11.989000000000001</v>
      </c>
      <c r="V4" s="14">
        <v>1.0916999999999999</v>
      </c>
      <c r="W4" s="14">
        <v>10.8973</v>
      </c>
      <c r="X4" s="11">
        <v>72</v>
      </c>
      <c r="Y4" s="10">
        <v>43257</v>
      </c>
      <c r="Z4" s="11">
        <v>9900000000</v>
      </c>
      <c r="AA4" s="12" t="s">
        <v>41</v>
      </c>
      <c r="AB4" s="11" t="s">
        <v>42</v>
      </c>
      <c r="AC4" s="12" t="s">
        <v>43</v>
      </c>
      <c r="AD4" s="11" t="s">
        <v>44</v>
      </c>
      <c r="AE4" s="12" t="s">
        <v>45</v>
      </c>
      <c r="AF4" s="14">
        <v>0.11989000000000001</v>
      </c>
      <c r="AG4" s="11" t="s">
        <v>56</v>
      </c>
    </row>
    <row r="5" spans="1:33" x14ac:dyDescent="0.2">
      <c r="A5" s="8">
        <v>1871</v>
      </c>
      <c r="B5" s="9" t="s">
        <v>52</v>
      </c>
      <c r="C5" s="10">
        <v>43257</v>
      </c>
      <c r="D5" s="11">
        <v>131</v>
      </c>
      <c r="E5" s="12" t="s">
        <v>34</v>
      </c>
      <c r="F5" s="12" t="s">
        <v>35</v>
      </c>
      <c r="G5" s="12" t="s">
        <v>36</v>
      </c>
      <c r="H5" s="12" t="s">
        <v>37</v>
      </c>
      <c r="I5" s="11" t="s">
        <v>57</v>
      </c>
      <c r="J5" s="12" t="s">
        <v>58</v>
      </c>
      <c r="K5" s="13" t="s">
        <v>49</v>
      </c>
      <c r="L5" s="11" t="str">
        <f>"000350"</f>
        <v>000350</v>
      </c>
      <c r="M5" s="10">
        <v>43183</v>
      </c>
      <c r="N5" s="11" t="str">
        <f>"000019"</f>
        <v>000019</v>
      </c>
      <c r="O5" s="10">
        <v>43230</v>
      </c>
      <c r="P5" s="11" t="str">
        <f>"000035"</f>
        <v>000035</v>
      </c>
      <c r="Q5" s="10">
        <v>43230</v>
      </c>
      <c r="R5" s="11">
        <v>18</v>
      </c>
      <c r="S5" s="11" t="str">
        <f>"002043"</f>
        <v>002043</v>
      </c>
      <c r="T5" s="10">
        <v>43249</v>
      </c>
      <c r="U5" s="14">
        <v>49.338700000000003</v>
      </c>
      <c r="V5" s="14">
        <v>4.8872999999999998</v>
      </c>
      <c r="W5" s="14">
        <v>44.4514</v>
      </c>
      <c r="X5" s="11">
        <v>73</v>
      </c>
      <c r="Y5" s="10">
        <v>43257</v>
      </c>
      <c r="Z5" s="11">
        <v>9900000000</v>
      </c>
      <c r="AA5" s="12" t="s">
        <v>59</v>
      </c>
      <c r="AB5" s="11" t="s">
        <v>50</v>
      </c>
      <c r="AC5" s="12" t="s">
        <v>51</v>
      </c>
      <c r="AD5" s="11" t="s">
        <v>44</v>
      </c>
      <c r="AE5" s="12" t="s">
        <v>45</v>
      </c>
      <c r="AF5" s="14">
        <v>0.49338700000000002</v>
      </c>
      <c r="AG5" s="11" t="s">
        <v>56</v>
      </c>
    </row>
    <row r="6" spans="1:33" x14ac:dyDescent="0.2">
      <c r="A6" s="8">
        <v>2181</v>
      </c>
      <c r="B6" s="9" t="s">
        <v>52</v>
      </c>
      <c r="C6" s="10">
        <v>43266</v>
      </c>
      <c r="D6" s="11">
        <v>131</v>
      </c>
      <c r="E6" s="12" t="s">
        <v>34</v>
      </c>
      <c r="F6" s="12" t="s">
        <v>35</v>
      </c>
      <c r="G6" s="12" t="s">
        <v>36</v>
      </c>
      <c r="H6" s="12" t="s">
        <v>37</v>
      </c>
      <c r="I6" s="11" t="s">
        <v>60</v>
      </c>
      <c r="J6" s="12" t="s">
        <v>61</v>
      </c>
      <c r="K6" s="13" t="s">
        <v>55</v>
      </c>
      <c r="L6" s="11" t="str">
        <f>"000352"</f>
        <v>000352</v>
      </c>
      <c r="M6" s="10">
        <v>43183</v>
      </c>
      <c r="N6" s="11" t="str">
        <f>"000026"</f>
        <v>000026</v>
      </c>
      <c r="O6" s="10">
        <v>43249</v>
      </c>
      <c r="P6" s="11" t="str">
        <f>"000059"</f>
        <v>000059</v>
      </c>
      <c r="Q6" s="10">
        <v>43250</v>
      </c>
      <c r="R6" s="11">
        <v>18</v>
      </c>
      <c r="S6" s="11" t="str">
        <f>"002601"</f>
        <v>002601</v>
      </c>
      <c r="T6" s="10">
        <v>43265</v>
      </c>
      <c r="U6" s="14">
        <v>4.9420000000000002</v>
      </c>
      <c r="V6" s="14">
        <v>0.41610000000000003</v>
      </c>
      <c r="W6" s="14">
        <v>4.5259</v>
      </c>
      <c r="X6" s="11">
        <v>86</v>
      </c>
      <c r="Y6" s="10">
        <v>43266</v>
      </c>
      <c r="Z6" s="11">
        <v>9900000000</v>
      </c>
      <c r="AA6" s="12" t="s">
        <v>41</v>
      </c>
      <c r="AB6" s="11" t="s">
        <v>50</v>
      </c>
      <c r="AC6" s="12" t="s">
        <v>51</v>
      </c>
      <c r="AD6" s="11" t="s">
        <v>44</v>
      </c>
      <c r="AE6" s="12" t="s">
        <v>45</v>
      </c>
      <c r="AF6" s="14">
        <v>4.9419999999999999E-2</v>
      </c>
      <c r="AG6" s="11" t="s">
        <v>56</v>
      </c>
    </row>
    <row r="7" spans="1:33" x14ac:dyDescent="0.2">
      <c r="A7" s="8">
        <v>2356</v>
      </c>
      <c r="B7" s="9" t="s">
        <v>52</v>
      </c>
      <c r="C7" s="10">
        <v>43269</v>
      </c>
      <c r="D7" s="11">
        <v>131</v>
      </c>
      <c r="E7" s="12" t="s">
        <v>34</v>
      </c>
      <c r="F7" s="12" t="s">
        <v>35</v>
      </c>
      <c r="G7" s="12" t="s">
        <v>36</v>
      </c>
      <c r="H7" s="12" t="s">
        <v>37</v>
      </c>
      <c r="I7" s="11" t="s">
        <v>62</v>
      </c>
      <c r="J7" s="12" t="s">
        <v>63</v>
      </c>
      <c r="K7" s="13" t="s">
        <v>49</v>
      </c>
      <c r="L7" s="11" t="str">
        <f>"000330"</f>
        <v>000330</v>
      </c>
      <c r="M7" s="10">
        <v>43179</v>
      </c>
      <c r="N7" s="11" t="str">
        <f>"000018"</f>
        <v>000018</v>
      </c>
      <c r="O7" s="10">
        <v>43230</v>
      </c>
      <c r="P7" s="11" t="str">
        <f>"000036"</f>
        <v>000036</v>
      </c>
      <c r="Q7" s="10">
        <v>43230</v>
      </c>
      <c r="R7" s="11">
        <v>18</v>
      </c>
      <c r="S7" s="11" t="str">
        <f>"002234"</f>
        <v>002234</v>
      </c>
      <c r="T7" s="10">
        <v>43257</v>
      </c>
      <c r="U7" s="14">
        <v>49.957700000000003</v>
      </c>
      <c r="V7" s="14">
        <v>4.9466999999999999</v>
      </c>
      <c r="W7" s="14">
        <v>45.011000000000003</v>
      </c>
      <c r="X7" s="11">
        <v>93</v>
      </c>
      <c r="Y7" s="10">
        <v>43269</v>
      </c>
      <c r="Z7" s="11">
        <v>9900000000</v>
      </c>
      <c r="AA7" s="12" t="s">
        <v>41</v>
      </c>
      <c r="AB7" s="11" t="s">
        <v>64</v>
      </c>
      <c r="AC7" s="12" t="s">
        <v>65</v>
      </c>
      <c r="AD7" s="11" t="s">
        <v>44</v>
      </c>
      <c r="AE7" s="12" t="s">
        <v>45</v>
      </c>
      <c r="AF7" s="14">
        <v>0.49957700000000005</v>
      </c>
      <c r="AG7" s="11" t="s">
        <v>56</v>
      </c>
    </row>
    <row r="8" spans="1:33" x14ac:dyDescent="0.2">
      <c r="A8" s="8">
        <v>3324</v>
      </c>
      <c r="B8" s="9" t="s">
        <v>66</v>
      </c>
      <c r="C8" s="10">
        <v>43297</v>
      </c>
      <c r="D8" s="11">
        <v>131</v>
      </c>
      <c r="E8" s="12" t="s">
        <v>34</v>
      </c>
      <c r="F8" s="12" t="s">
        <v>35</v>
      </c>
      <c r="G8" s="12" t="s">
        <v>36</v>
      </c>
      <c r="H8" s="12" t="s">
        <v>37</v>
      </c>
      <c r="I8" s="11" t="s">
        <v>67</v>
      </c>
      <c r="J8" s="12" t="s">
        <v>68</v>
      </c>
      <c r="K8" s="13" t="s">
        <v>69</v>
      </c>
      <c r="L8" s="11" t="str">
        <f>"000086"</f>
        <v>000086</v>
      </c>
      <c r="M8" s="10">
        <v>42447</v>
      </c>
      <c r="N8" s="11" t="str">
        <f>"000403"</f>
        <v>000403</v>
      </c>
      <c r="O8" s="10">
        <v>42735</v>
      </c>
      <c r="P8" s="11" t="str">
        <f>"000686"</f>
        <v>000686</v>
      </c>
      <c r="Q8" s="10">
        <v>42735</v>
      </c>
      <c r="R8" s="11">
        <v>16</v>
      </c>
      <c r="S8" s="11" t="str">
        <f>"003667"</f>
        <v>003667</v>
      </c>
      <c r="T8" s="10">
        <v>43293</v>
      </c>
      <c r="U8" s="14">
        <v>18.626930000000002</v>
      </c>
      <c r="V8" s="14">
        <v>2.33487</v>
      </c>
      <c r="W8" s="14">
        <v>16.292059999999999</v>
      </c>
      <c r="X8" s="11">
        <v>125</v>
      </c>
      <c r="Y8" s="10">
        <v>43297</v>
      </c>
      <c r="Z8" s="11">
        <v>9845309863</v>
      </c>
      <c r="AA8" s="12" t="s">
        <v>70</v>
      </c>
      <c r="AB8" s="11" t="s">
        <v>71</v>
      </c>
      <c r="AC8" s="12" t="s">
        <v>72</v>
      </c>
      <c r="AD8" s="11" t="s">
        <v>44</v>
      </c>
      <c r="AE8" s="12" t="s">
        <v>45</v>
      </c>
      <c r="AF8" s="14">
        <v>0.18626930000000003</v>
      </c>
      <c r="AG8" s="11" t="s">
        <v>46</v>
      </c>
    </row>
    <row r="9" spans="1:33" x14ac:dyDescent="0.2">
      <c r="A9" s="8">
        <v>3860</v>
      </c>
      <c r="B9" s="9" t="s">
        <v>66</v>
      </c>
      <c r="C9" s="10">
        <v>43304</v>
      </c>
      <c r="D9" s="11">
        <v>131</v>
      </c>
      <c r="E9" s="12" t="s">
        <v>34</v>
      </c>
      <c r="F9" s="12" t="s">
        <v>35</v>
      </c>
      <c r="G9" s="12" t="s">
        <v>36</v>
      </c>
      <c r="H9" s="12" t="s">
        <v>37</v>
      </c>
      <c r="I9" s="11" t="s">
        <v>73</v>
      </c>
      <c r="J9" s="12" t="s">
        <v>74</v>
      </c>
      <c r="K9" s="13" t="s">
        <v>69</v>
      </c>
      <c r="L9" s="11" t="str">
        <f>"000073"</f>
        <v>000073</v>
      </c>
      <c r="M9" s="10">
        <v>43084</v>
      </c>
      <c r="N9" s="11" t="str">
        <f>"000138"</f>
        <v>000138</v>
      </c>
      <c r="O9" s="10">
        <v>43187</v>
      </c>
      <c r="P9" s="11" t="str">
        <f>"000166"</f>
        <v>000166</v>
      </c>
      <c r="Q9" s="10">
        <v>43190</v>
      </c>
      <c r="R9" s="11">
        <v>17</v>
      </c>
      <c r="S9" s="11" t="str">
        <f>"004166"</f>
        <v>004166</v>
      </c>
      <c r="T9" s="10">
        <v>43302</v>
      </c>
      <c r="U9" s="14">
        <v>5.7081400000000002</v>
      </c>
      <c r="V9" s="14">
        <v>0.53380000000000005</v>
      </c>
      <c r="W9" s="14">
        <v>5.1743399999999999</v>
      </c>
      <c r="X9" s="11">
        <v>137</v>
      </c>
      <c r="Y9" s="10">
        <v>43304</v>
      </c>
      <c r="Z9" s="11">
        <v>9845351993</v>
      </c>
      <c r="AA9" s="12" t="s">
        <v>75</v>
      </c>
      <c r="AB9" s="11" t="s">
        <v>42</v>
      </c>
      <c r="AC9" s="12" t="s">
        <v>43</v>
      </c>
      <c r="AD9" s="11" t="s">
        <v>76</v>
      </c>
      <c r="AE9" s="12" t="s">
        <v>77</v>
      </c>
      <c r="AF9" s="14">
        <v>5.7081400000000004E-2</v>
      </c>
      <c r="AG9" s="11" t="s">
        <v>46</v>
      </c>
    </row>
    <row r="10" spans="1:33" x14ac:dyDescent="0.2">
      <c r="A10" s="8">
        <v>4138</v>
      </c>
      <c r="B10" s="9" t="s">
        <v>66</v>
      </c>
      <c r="C10" s="10">
        <v>43308</v>
      </c>
      <c r="D10" s="11">
        <v>131</v>
      </c>
      <c r="E10" s="12" t="s">
        <v>34</v>
      </c>
      <c r="F10" s="12" t="s">
        <v>35</v>
      </c>
      <c r="G10" s="12" t="s">
        <v>36</v>
      </c>
      <c r="H10" s="12" t="s">
        <v>37</v>
      </c>
      <c r="I10" s="11" t="s">
        <v>78</v>
      </c>
      <c r="J10" s="12" t="s">
        <v>79</v>
      </c>
      <c r="K10" s="13" t="s">
        <v>69</v>
      </c>
      <c r="L10" s="11" t="str">
        <f>"000028"</f>
        <v>000028</v>
      </c>
      <c r="M10" s="10">
        <v>42942</v>
      </c>
      <c r="N10" s="11" t="str">
        <f>"000134"</f>
        <v>000134</v>
      </c>
      <c r="O10" s="10">
        <v>43187</v>
      </c>
      <c r="P10" s="11" t="str">
        <f>"000162"</f>
        <v>000162</v>
      </c>
      <c r="Q10" s="10">
        <v>43187</v>
      </c>
      <c r="R10" s="11">
        <v>16</v>
      </c>
      <c r="S10" s="11" t="str">
        <f>"004381"</f>
        <v>004381</v>
      </c>
      <c r="T10" s="10">
        <v>43306</v>
      </c>
      <c r="U10" s="14">
        <v>9.4663400000000006</v>
      </c>
      <c r="V10" s="14">
        <v>0.48279</v>
      </c>
      <c r="W10" s="14">
        <v>8.9835499999999993</v>
      </c>
      <c r="X10" s="11">
        <v>146</v>
      </c>
      <c r="Y10" s="10">
        <v>43308</v>
      </c>
      <c r="Z10" s="11">
        <v>9845351993</v>
      </c>
      <c r="AA10" s="12" t="s">
        <v>80</v>
      </c>
      <c r="AB10" s="11" t="s">
        <v>81</v>
      </c>
      <c r="AC10" s="12" t="s">
        <v>82</v>
      </c>
      <c r="AD10" s="11" t="s">
        <v>76</v>
      </c>
      <c r="AE10" s="12" t="s">
        <v>77</v>
      </c>
      <c r="AF10" s="14">
        <v>9.4663400000000009E-2</v>
      </c>
      <c r="AG10" s="11" t="s">
        <v>46</v>
      </c>
    </row>
    <row r="11" spans="1:33" x14ac:dyDescent="0.2">
      <c r="A11" s="8">
        <v>4543</v>
      </c>
      <c r="B11" s="9" t="s">
        <v>83</v>
      </c>
      <c r="C11" s="10">
        <v>43318</v>
      </c>
      <c r="D11" s="11">
        <v>131</v>
      </c>
      <c r="E11" s="12" t="s">
        <v>34</v>
      </c>
      <c r="F11" s="12" t="s">
        <v>35</v>
      </c>
      <c r="G11" s="12" t="s">
        <v>36</v>
      </c>
      <c r="H11" s="12" t="s">
        <v>37</v>
      </c>
      <c r="I11" s="11" t="s">
        <v>84</v>
      </c>
      <c r="J11" s="12" t="s">
        <v>85</v>
      </c>
      <c r="K11" s="13" t="s">
        <v>86</v>
      </c>
      <c r="L11" s="11" t="str">
        <f>"000054"</f>
        <v>000054</v>
      </c>
      <c r="M11" s="10">
        <v>42426</v>
      </c>
      <c r="N11" s="11" t="str">
        <f>"000011"</f>
        <v>000011</v>
      </c>
      <c r="O11" s="10">
        <v>42849</v>
      </c>
      <c r="P11" s="11" t="str">
        <f>"000069"</f>
        <v>000069</v>
      </c>
      <c r="Q11" s="10">
        <v>42884</v>
      </c>
      <c r="R11" s="11">
        <v>16</v>
      </c>
      <c r="S11" s="11" t="str">
        <f>"004870"</f>
        <v>004870</v>
      </c>
      <c r="T11" s="10">
        <v>43316</v>
      </c>
      <c r="U11" s="14">
        <v>12.346399999999999</v>
      </c>
      <c r="V11" s="14">
        <v>1.4946999999999999</v>
      </c>
      <c r="W11" s="14">
        <v>10.851699999999999</v>
      </c>
      <c r="X11" s="11">
        <v>158</v>
      </c>
      <c r="Y11" s="10">
        <v>43318</v>
      </c>
      <c r="Z11" s="11">
        <v>9880572993</v>
      </c>
      <c r="AA11" s="12" t="s">
        <v>87</v>
      </c>
      <c r="AB11" s="11" t="s">
        <v>71</v>
      </c>
      <c r="AC11" s="12" t="s">
        <v>72</v>
      </c>
      <c r="AD11" s="11" t="s">
        <v>44</v>
      </c>
      <c r="AE11" s="12" t="s">
        <v>45</v>
      </c>
      <c r="AF11" s="14">
        <v>0.12346399999999999</v>
      </c>
      <c r="AG11" s="11" t="s">
        <v>46</v>
      </c>
    </row>
    <row r="12" spans="1:33" x14ac:dyDescent="0.2">
      <c r="A12" s="8">
        <v>5017</v>
      </c>
      <c r="B12" s="9" t="s">
        <v>83</v>
      </c>
      <c r="C12" s="10">
        <v>43333</v>
      </c>
      <c r="D12" s="11">
        <v>131</v>
      </c>
      <c r="E12" s="12" t="s">
        <v>34</v>
      </c>
      <c r="F12" s="12" t="s">
        <v>35</v>
      </c>
      <c r="G12" s="12" t="s">
        <v>36</v>
      </c>
      <c r="H12" s="12" t="s">
        <v>37</v>
      </c>
      <c r="I12" s="11" t="s">
        <v>88</v>
      </c>
      <c r="J12" s="12" t="s">
        <v>89</v>
      </c>
      <c r="K12" s="13" t="s">
        <v>90</v>
      </c>
      <c r="L12" s="11" t="str">
        <f>"000027"</f>
        <v>000027</v>
      </c>
      <c r="M12" s="10">
        <v>42863</v>
      </c>
      <c r="N12" s="11" t="str">
        <f>"000040"</f>
        <v>000040</v>
      </c>
      <c r="O12" s="10">
        <v>42884</v>
      </c>
      <c r="P12" s="11" t="str">
        <f>"000100"</f>
        <v>000100</v>
      </c>
      <c r="Q12" s="10">
        <v>42886</v>
      </c>
      <c r="R12" s="11">
        <v>17</v>
      </c>
      <c r="S12" s="11" t="str">
        <f>"005285"</f>
        <v>005285</v>
      </c>
      <c r="T12" s="10">
        <v>43332</v>
      </c>
      <c r="U12" s="14">
        <v>48.239800000000002</v>
      </c>
      <c r="V12" s="14">
        <v>6.8</v>
      </c>
      <c r="W12" s="14">
        <v>41.439799999999998</v>
      </c>
      <c r="X12" s="11">
        <v>176</v>
      </c>
      <c r="Y12" s="10">
        <v>43333</v>
      </c>
      <c r="Z12" s="11">
        <v>9900000000</v>
      </c>
      <c r="AA12" s="12" t="s">
        <v>91</v>
      </c>
      <c r="AB12" s="11" t="s">
        <v>92</v>
      </c>
      <c r="AC12" s="12" t="s">
        <v>93</v>
      </c>
      <c r="AD12" s="11" t="s">
        <v>44</v>
      </c>
      <c r="AE12" s="12" t="s">
        <v>45</v>
      </c>
      <c r="AF12" s="14">
        <v>0.48239800000000005</v>
      </c>
      <c r="AG12" s="11" t="s">
        <v>46</v>
      </c>
    </row>
    <row r="13" spans="1:33" x14ac:dyDescent="0.2">
      <c r="A13" s="8">
        <v>5421</v>
      </c>
      <c r="B13" s="9" t="s">
        <v>94</v>
      </c>
      <c r="C13" s="10">
        <v>43354</v>
      </c>
      <c r="D13" s="11">
        <v>131</v>
      </c>
      <c r="E13" s="12" t="s">
        <v>34</v>
      </c>
      <c r="F13" s="12" t="s">
        <v>35</v>
      </c>
      <c r="G13" s="12" t="s">
        <v>36</v>
      </c>
      <c r="H13" s="12" t="s">
        <v>37</v>
      </c>
      <c r="I13" s="11" t="s">
        <v>95</v>
      </c>
      <c r="J13" s="12" t="s">
        <v>96</v>
      </c>
      <c r="K13" s="13" t="s">
        <v>69</v>
      </c>
      <c r="L13" s="11" t="str">
        <f>"000019"</f>
        <v>000019</v>
      </c>
      <c r="M13" s="10">
        <v>43312</v>
      </c>
      <c r="N13" s="11" t="str">
        <f>"000076"</f>
        <v>000076</v>
      </c>
      <c r="O13" s="10">
        <v>43341</v>
      </c>
      <c r="P13" s="11" t="str">
        <f>"000075"</f>
        <v>000075</v>
      </c>
      <c r="Q13" s="10">
        <v>43341</v>
      </c>
      <c r="R13" s="11">
        <v>18</v>
      </c>
      <c r="S13" s="11" t="str">
        <f>"005745"</f>
        <v>005745</v>
      </c>
      <c r="T13" s="10">
        <v>43354</v>
      </c>
      <c r="U13" s="14">
        <v>9.9983599999999999</v>
      </c>
      <c r="V13" s="14">
        <v>1.05983</v>
      </c>
      <c r="W13" s="14">
        <v>8.9385300000000001</v>
      </c>
      <c r="X13" s="11">
        <v>199</v>
      </c>
      <c r="Y13" s="10">
        <v>43354</v>
      </c>
      <c r="Z13" s="11">
        <v>9964168613</v>
      </c>
      <c r="AA13" s="12" t="s">
        <v>97</v>
      </c>
      <c r="AB13" s="11" t="s">
        <v>98</v>
      </c>
      <c r="AC13" s="12" t="s">
        <v>99</v>
      </c>
      <c r="AD13" s="11" t="s">
        <v>76</v>
      </c>
      <c r="AE13" s="12" t="s">
        <v>77</v>
      </c>
      <c r="AF13" s="14">
        <f t="shared" ref="AF13:AF30" si="0">U13/100</f>
        <v>9.9983600000000006E-2</v>
      </c>
      <c r="AG13" s="11" t="s">
        <v>100</v>
      </c>
    </row>
    <row r="14" spans="1:33" x14ac:dyDescent="0.2">
      <c r="A14" s="8">
        <v>6591</v>
      </c>
      <c r="B14" s="9" t="s">
        <v>101</v>
      </c>
      <c r="C14" s="10">
        <v>43389</v>
      </c>
      <c r="D14" s="11">
        <v>131</v>
      </c>
      <c r="E14" s="12" t="s">
        <v>34</v>
      </c>
      <c r="F14" s="12" t="s">
        <v>35</v>
      </c>
      <c r="G14" s="12" t="s">
        <v>36</v>
      </c>
      <c r="H14" s="12" t="s">
        <v>37</v>
      </c>
      <c r="I14" s="11" t="s">
        <v>102</v>
      </c>
      <c r="J14" s="12" t="s">
        <v>103</v>
      </c>
      <c r="K14" s="13" t="s">
        <v>90</v>
      </c>
      <c r="L14" s="11" t="str">
        <f>"000108"</f>
        <v>000108</v>
      </c>
      <c r="M14" s="10">
        <v>43105</v>
      </c>
      <c r="N14" s="11" t="str">
        <f>"000050"</f>
        <v>000050</v>
      </c>
      <c r="O14" s="10">
        <v>43105</v>
      </c>
      <c r="P14" s="11" t="str">
        <f>"000115"</f>
        <v>000115</v>
      </c>
      <c r="Q14" s="10">
        <v>43106</v>
      </c>
      <c r="R14" s="11">
        <v>17</v>
      </c>
      <c r="S14" s="11" t="str">
        <f>"006457"</f>
        <v>006457</v>
      </c>
      <c r="T14" s="10">
        <v>43382</v>
      </c>
      <c r="U14" s="14">
        <v>14.915100000000001</v>
      </c>
      <c r="V14" s="14">
        <v>1.9545999999999999</v>
      </c>
      <c r="W14" s="14">
        <v>12.9605</v>
      </c>
      <c r="X14" s="11">
        <v>241</v>
      </c>
      <c r="Y14" s="10">
        <v>43389</v>
      </c>
      <c r="Z14" s="11">
        <v>9900000000</v>
      </c>
      <c r="AA14" s="12" t="s">
        <v>104</v>
      </c>
      <c r="AB14" s="11" t="s">
        <v>105</v>
      </c>
      <c r="AC14" s="12" t="s">
        <v>106</v>
      </c>
      <c r="AD14" s="11" t="s">
        <v>44</v>
      </c>
      <c r="AE14" s="12" t="s">
        <v>45</v>
      </c>
      <c r="AF14" s="14">
        <f t="shared" si="0"/>
        <v>0.14915100000000001</v>
      </c>
      <c r="AG14" s="11" t="s">
        <v>46</v>
      </c>
    </row>
    <row r="15" spans="1:33" x14ac:dyDescent="0.2">
      <c r="A15" s="8">
        <v>6937</v>
      </c>
      <c r="B15" s="9" t="s">
        <v>101</v>
      </c>
      <c r="C15" s="10">
        <v>43402</v>
      </c>
      <c r="D15" s="11">
        <v>131</v>
      </c>
      <c r="E15" s="12" t="s">
        <v>34</v>
      </c>
      <c r="F15" s="12" t="s">
        <v>35</v>
      </c>
      <c r="G15" s="12" t="s">
        <v>36</v>
      </c>
      <c r="H15" s="12" t="s">
        <v>37</v>
      </c>
      <c r="I15" s="11" t="s">
        <v>107</v>
      </c>
      <c r="J15" s="12" t="s">
        <v>108</v>
      </c>
      <c r="K15" s="13" t="s">
        <v>109</v>
      </c>
      <c r="L15" s="11" t="str">
        <f>"000003"</f>
        <v>000003</v>
      </c>
      <c r="M15" s="10">
        <v>43388</v>
      </c>
      <c r="N15" s="11" t="str">
        <f>"000041"</f>
        <v>000041</v>
      </c>
      <c r="O15" s="10">
        <v>43388</v>
      </c>
      <c r="P15" s="11" t="str">
        <f>"000189"</f>
        <v>000189</v>
      </c>
      <c r="Q15" s="10">
        <v>43389</v>
      </c>
      <c r="R15" s="11">
        <v>18</v>
      </c>
      <c r="S15" s="11" t="str">
        <f>"007058"</f>
        <v>007058</v>
      </c>
      <c r="T15" s="10">
        <v>43400</v>
      </c>
      <c r="U15" s="14">
        <v>36.200000000000003</v>
      </c>
      <c r="V15" s="14">
        <v>2.2770000000000001</v>
      </c>
      <c r="W15" s="14">
        <v>33.923000000000002</v>
      </c>
      <c r="X15" s="11">
        <v>252</v>
      </c>
      <c r="Y15" s="10">
        <v>43402</v>
      </c>
      <c r="Z15" s="11">
        <v>9886078454</v>
      </c>
      <c r="AA15" s="12" t="s">
        <v>110</v>
      </c>
      <c r="AB15" s="11" t="s">
        <v>111</v>
      </c>
      <c r="AC15" s="12" t="s">
        <v>112</v>
      </c>
      <c r="AD15" s="11" t="s">
        <v>113</v>
      </c>
      <c r="AE15" s="12" t="s">
        <v>114</v>
      </c>
      <c r="AF15" s="14">
        <f t="shared" si="0"/>
        <v>0.36200000000000004</v>
      </c>
      <c r="AG15" s="11" t="s">
        <v>100</v>
      </c>
    </row>
    <row r="16" spans="1:33" x14ac:dyDescent="0.2">
      <c r="A16" s="8">
        <v>7157</v>
      </c>
      <c r="B16" s="9" t="s">
        <v>115</v>
      </c>
      <c r="C16" s="10">
        <v>43418</v>
      </c>
      <c r="D16" s="11">
        <v>131</v>
      </c>
      <c r="E16" s="12" t="s">
        <v>34</v>
      </c>
      <c r="F16" s="12" t="s">
        <v>35</v>
      </c>
      <c r="G16" s="12" t="s">
        <v>36</v>
      </c>
      <c r="H16" s="12" t="s">
        <v>37</v>
      </c>
      <c r="I16" s="11" t="s">
        <v>116</v>
      </c>
      <c r="J16" s="12" t="s">
        <v>117</v>
      </c>
      <c r="K16" s="13" t="s">
        <v>55</v>
      </c>
      <c r="L16" s="11" t="str">
        <f>"000054"</f>
        <v>000054</v>
      </c>
      <c r="M16" s="10">
        <v>42994</v>
      </c>
      <c r="N16" s="11" t="str">
        <f>"000055"</f>
        <v>000055</v>
      </c>
      <c r="O16" s="10">
        <v>43117</v>
      </c>
      <c r="P16" s="11" t="str">
        <f>"000123"</f>
        <v>000123</v>
      </c>
      <c r="Q16" s="10">
        <v>43117</v>
      </c>
      <c r="R16" s="11">
        <v>17</v>
      </c>
      <c r="S16" s="11" t="str">
        <f>"007143"</f>
        <v>007143</v>
      </c>
      <c r="T16" s="10">
        <v>43403</v>
      </c>
      <c r="U16" s="14">
        <v>9.9023000000000003</v>
      </c>
      <c r="V16" s="14">
        <v>1.0219</v>
      </c>
      <c r="W16" s="14">
        <v>8.8803999999999998</v>
      </c>
      <c r="X16" s="11">
        <v>261</v>
      </c>
      <c r="Y16" s="10">
        <v>43418</v>
      </c>
      <c r="Z16" s="11">
        <v>9741753375</v>
      </c>
      <c r="AA16" s="12" t="s">
        <v>118</v>
      </c>
      <c r="AB16" s="11" t="s">
        <v>71</v>
      </c>
      <c r="AC16" s="12" t="s">
        <v>72</v>
      </c>
      <c r="AD16" s="11" t="s">
        <v>44</v>
      </c>
      <c r="AE16" s="12" t="s">
        <v>45</v>
      </c>
      <c r="AF16" s="14">
        <f t="shared" si="0"/>
        <v>9.9023E-2</v>
      </c>
      <c r="AG16" s="11" t="s">
        <v>46</v>
      </c>
    </row>
    <row r="17" spans="1:33" x14ac:dyDescent="0.2">
      <c r="A17" s="8">
        <v>7253</v>
      </c>
      <c r="B17" s="9" t="s">
        <v>115</v>
      </c>
      <c r="C17" s="10">
        <v>43420</v>
      </c>
      <c r="D17" s="11">
        <v>131</v>
      </c>
      <c r="E17" s="12" t="s">
        <v>34</v>
      </c>
      <c r="F17" s="12" t="s">
        <v>35</v>
      </c>
      <c r="G17" s="12" t="s">
        <v>36</v>
      </c>
      <c r="H17" s="12" t="s">
        <v>37</v>
      </c>
      <c r="I17" s="11" t="s">
        <v>119</v>
      </c>
      <c r="J17" s="12" t="s">
        <v>120</v>
      </c>
      <c r="K17" s="13" t="s">
        <v>121</v>
      </c>
      <c r="L17" s="11" t="str">
        <f>"000273"</f>
        <v>000273</v>
      </c>
      <c r="M17" s="10">
        <v>43326</v>
      </c>
      <c r="N17" s="11" t="str">
        <f>"000056"</f>
        <v>000056</v>
      </c>
      <c r="O17" s="10">
        <v>43382</v>
      </c>
      <c r="P17" s="11" t="str">
        <f>"000145"</f>
        <v>000145</v>
      </c>
      <c r="Q17" s="10">
        <v>43382</v>
      </c>
      <c r="R17" s="11">
        <v>17</v>
      </c>
      <c r="S17" s="11" t="str">
        <f>"007352"</f>
        <v>007352</v>
      </c>
      <c r="T17" s="10">
        <v>43418</v>
      </c>
      <c r="U17" s="14">
        <v>9.9993999999999996</v>
      </c>
      <c r="V17" s="14">
        <v>1.0606</v>
      </c>
      <c r="W17" s="14">
        <v>8.9388000000000005</v>
      </c>
      <c r="X17" s="11">
        <v>265</v>
      </c>
      <c r="Y17" s="10">
        <v>43420</v>
      </c>
      <c r="Z17" s="11">
        <v>9900000000</v>
      </c>
      <c r="AA17" s="12" t="s">
        <v>41</v>
      </c>
      <c r="AB17" s="11" t="s">
        <v>42</v>
      </c>
      <c r="AC17" s="12" t="s">
        <v>43</v>
      </c>
      <c r="AD17" s="11" t="s">
        <v>44</v>
      </c>
      <c r="AE17" s="12" t="s">
        <v>45</v>
      </c>
      <c r="AF17" s="14">
        <f t="shared" si="0"/>
        <v>9.9994E-2</v>
      </c>
      <c r="AG17" s="11" t="s">
        <v>100</v>
      </c>
    </row>
    <row r="18" spans="1:33" x14ac:dyDescent="0.2">
      <c r="A18" s="8">
        <v>7767</v>
      </c>
      <c r="B18" s="9" t="s">
        <v>122</v>
      </c>
      <c r="C18" s="10">
        <v>43448</v>
      </c>
      <c r="D18" s="11">
        <v>131</v>
      </c>
      <c r="E18" s="12" t="s">
        <v>34</v>
      </c>
      <c r="F18" s="12" t="s">
        <v>35</v>
      </c>
      <c r="G18" s="12" t="s">
        <v>36</v>
      </c>
      <c r="H18" s="12" t="s">
        <v>37</v>
      </c>
      <c r="I18" s="11" t="s">
        <v>123</v>
      </c>
      <c r="J18" s="12" t="s">
        <v>124</v>
      </c>
      <c r="K18" s="13" t="s">
        <v>90</v>
      </c>
      <c r="L18" s="11" t="str">
        <f>"000281"</f>
        <v>000281</v>
      </c>
      <c r="M18" s="10">
        <v>43347</v>
      </c>
      <c r="N18" s="11" t="str">
        <f>"000061"</f>
        <v>000061</v>
      </c>
      <c r="O18" s="10">
        <v>43406</v>
      </c>
      <c r="P18" s="11" t="str">
        <f>"000156"</f>
        <v>000156</v>
      </c>
      <c r="Q18" s="10">
        <v>43407</v>
      </c>
      <c r="R18" s="11">
        <v>18</v>
      </c>
      <c r="S18" s="11" t="str">
        <f>"007968"</f>
        <v>007968</v>
      </c>
      <c r="T18" s="10">
        <v>43447</v>
      </c>
      <c r="U18" s="14">
        <v>14.946199999999999</v>
      </c>
      <c r="V18" s="14">
        <v>1.9813000000000001</v>
      </c>
      <c r="W18" s="14">
        <v>12.9649</v>
      </c>
      <c r="X18" s="11">
        <v>290</v>
      </c>
      <c r="Y18" s="10">
        <v>43448</v>
      </c>
      <c r="Z18" s="11">
        <v>9900000000</v>
      </c>
      <c r="AA18" s="12" t="s">
        <v>41</v>
      </c>
      <c r="AB18" s="11" t="s">
        <v>125</v>
      </c>
      <c r="AC18" s="12" t="s">
        <v>126</v>
      </c>
      <c r="AD18" s="11" t="s">
        <v>44</v>
      </c>
      <c r="AE18" s="12" t="s">
        <v>45</v>
      </c>
      <c r="AF18" s="14">
        <f t="shared" si="0"/>
        <v>0.14946199999999998</v>
      </c>
      <c r="AG18" s="11" t="s">
        <v>100</v>
      </c>
    </row>
    <row r="19" spans="1:33" x14ac:dyDescent="0.2">
      <c r="A19" s="8">
        <v>8044</v>
      </c>
      <c r="B19" s="9" t="s">
        <v>122</v>
      </c>
      <c r="C19" s="10">
        <v>43455</v>
      </c>
      <c r="D19" s="11">
        <v>131</v>
      </c>
      <c r="E19" s="12" t="s">
        <v>34</v>
      </c>
      <c r="F19" s="12" t="s">
        <v>35</v>
      </c>
      <c r="G19" s="12" t="s">
        <v>36</v>
      </c>
      <c r="H19" s="12" t="s">
        <v>37</v>
      </c>
      <c r="I19" s="11" t="s">
        <v>127</v>
      </c>
      <c r="J19" s="12" t="s">
        <v>128</v>
      </c>
      <c r="K19" s="13" t="s">
        <v>49</v>
      </c>
      <c r="L19" s="11" t="str">
        <f>"000009"</f>
        <v>000009</v>
      </c>
      <c r="M19" s="10">
        <v>42849</v>
      </c>
      <c r="N19" s="11" t="str">
        <f>"000038"</f>
        <v>000038</v>
      </c>
      <c r="O19" s="10">
        <v>42884</v>
      </c>
      <c r="P19" s="11" t="str">
        <f>"000098"</f>
        <v>000098</v>
      </c>
      <c r="Q19" s="10">
        <v>42886</v>
      </c>
      <c r="R19" s="11">
        <v>17</v>
      </c>
      <c r="S19" s="11" t="str">
        <f>"007773"</f>
        <v>007773</v>
      </c>
      <c r="T19" s="10">
        <v>43444</v>
      </c>
      <c r="U19" s="14">
        <v>48.9833</v>
      </c>
      <c r="V19" s="14">
        <v>6.6626000000000003</v>
      </c>
      <c r="W19" s="14">
        <v>42.320700000000002</v>
      </c>
      <c r="X19" s="11">
        <v>301</v>
      </c>
      <c r="Y19" s="10">
        <v>43455</v>
      </c>
      <c r="Z19" s="11">
        <v>9900000000</v>
      </c>
      <c r="AA19" s="12" t="s">
        <v>41</v>
      </c>
      <c r="AB19" s="11" t="s">
        <v>92</v>
      </c>
      <c r="AC19" s="12" t="s">
        <v>93</v>
      </c>
      <c r="AD19" s="11" t="s">
        <v>44</v>
      </c>
      <c r="AE19" s="12" t="s">
        <v>45</v>
      </c>
      <c r="AF19" s="14">
        <f t="shared" si="0"/>
        <v>0.48983300000000002</v>
      </c>
      <c r="AG19" s="11" t="s">
        <v>46</v>
      </c>
    </row>
    <row r="20" spans="1:33" x14ac:dyDescent="0.2">
      <c r="A20" s="8">
        <v>8045</v>
      </c>
      <c r="B20" s="9" t="s">
        <v>122</v>
      </c>
      <c r="C20" s="10">
        <v>43455</v>
      </c>
      <c r="D20" s="11">
        <v>131</v>
      </c>
      <c r="E20" s="12" t="s">
        <v>34</v>
      </c>
      <c r="F20" s="12" t="s">
        <v>35</v>
      </c>
      <c r="G20" s="12" t="s">
        <v>36</v>
      </c>
      <c r="H20" s="12" t="s">
        <v>37</v>
      </c>
      <c r="I20" s="11" t="s">
        <v>129</v>
      </c>
      <c r="J20" s="12" t="s">
        <v>130</v>
      </c>
      <c r="K20" s="13" t="s">
        <v>49</v>
      </c>
      <c r="L20" s="11" t="str">
        <f>"000007"</f>
        <v>000007</v>
      </c>
      <c r="M20" s="10">
        <v>42849</v>
      </c>
      <c r="N20" s="11" t="str">
        <f>"000039"</f>
        <v>000039</v>
      </c>
      <c r="O20" s="10">
        <v>42884</v>
      </c>
      <c r="P20" s="11" t="str">
        <f>"000099"</f>
        <v>000099</v>
      </c>
      <c r="Q20" s="10">
        <v>42886</v>
      </c>
      <c r="R20" s="11">
        <v>17</v>
      </c>
      <c r="S20" s="11" t="str">
        <f>"007774"</f>
        <v>007774</v>
      </c>
      <c r="T20" s="10">
        <v>43444</v>
      </c>
      <c r="U20" s="14">
        <v>99.837800000000001</v>
      </c>
      <c r="V20" s="14">
        <v>14.078900000000001</v>
      </c>
      <c r="W20" s="14">
        <v>85.758899999999997</v>
      </c>
      <c r="X20" s="11">
        <v>301</v>
      </c>
      <c r="Y20" s="10">
        <v>43455</v>
      </c>
      <c r="Z20" s="11">
        <v>9900000000</v>
      </c>
      <c r="AA20" s="12" t="s">
        <v>41</v>
      </c>
      <c r="AB20" s="11" t="s">
        <v>131</v>
      </c>
      <c r="AC20" s="12" t="s">
        <v>132</v>
      </c>
      <c r="AD20" s="11" t="s">
        <v>44</v>
      </c>
      <c r="AE20" s="12" t="s">
        <v>45</v>
      </c>
      <c r="AF20" s="14">
        <f t="shared" si="0"/>
        <v>0.99837799999999999</v>
      </c>
      <c r="AG20" s="11" t="s">
        <v>46</v>
      </c>
    </row>
    <row r="21" spans="1:33" x14ac:dyDescent="0.2">
      <c r="A21" s="8">
        <v>8046</v>
      </c>
      <c r="B21" s="9" t="s">
        <v>122</v>
      </c>
      <c r="C21" s="10">
        <v>43455</v>
      </c>
      <c r="D21" s="11">
        <v>131</v>
      </c>
      <c r="E21" s="12" t="s">
        <v>34</v>
      </c>
      <c r="F21" s="12" t="s">
        <v>35</v>
      </c>
      <c r="G21" s="12" t="s">
        <v>36</v>
      </c>
      <c r="H21" s="12" t="s">
        <v>37</v>
      </c>
      <c r="I21" s="11" t="s">
        <v>133</v>
      </c>
      <c r="J21" s="12" t="s">
        <v>134</v>
      </c>
      <c r="K21" s="13" t="s">
        <v>49</v>
      </c>
      <c r="L21" s="11" t="str">
        <f>"000008"</f>
        <v>000008</v>
      </c>
      <c r="M21" s="10">
        <v>42849</v>
      </c>
      <c r="N21" s="11" t="str">
        <f>"000035"</f>
        <v>000035</v>
      </c>
      <c r="O21" s="10">
        <v>42884</v>
      </c>
      <c r="P21" s="11" t="str">
        <f>"000101"</f>
        <v>000101</v>
      </c>
      <c r="Q21" s="10">
        <v>42886</v>
      </c>
      <c r="R21" s="11">
        <v>17</v>
      </c>
      <c r="S21" s="11" t="str">
        <f>"007775"</f>
        <v>007775</v>
      </c>
      <c r="T21" s="10">
        <v>43444</v>
      </c>
      <c r="U21" s="14">
        <v>99.998099999999994</v>
      </c>
      <c r="V21" s="14">
        <v>14.1005</v>
      </c>
      <c r="W21" s="14">
        <v>85.897599999999997</v>
      </c>
      <c r="X21" s="11">
        <v>301</v>
      </c>
      <c r="Y21" s="10">
        <v>43455</v>
      </c>
      <c r="Z21" s="11">
        <v>9900000000</v>
      </c>
      <c r="AA21" s="12" t="s">
        <v>59</v>
      </c>
      <c r="AB21" s="11" t="s">
        <v>135</v>
      </c>
      <c r="AC21" s="12" t="s">
        <v>136</v>
      </c>
      <c r="AD21" s="11" t="s">
        <v>44</v>
      </c>
      <c r="AE21" s="12" t="s">
        <v>45</v>
      </c>
      <c r="AF21" s="14">
        <f t="shared" si="0"/>
        <v>0.9999809999999999</v>
      </c>
      <c r="AG21" s="11" t="s">
        <v>46</v>
      </c>
    </row>
    <row r="22" spans="1:33" x14ac:dyDescent="0.2">
      <c r="A22" s="8">
        <v>8102</v>
      </c>
      <c r="B22" s="9" t="s">
        <v>122</v>
      </c>
      <c r="C22" s="10">
        <v>43462</v>
      </c>
      <c r="D22" s="11">
        <v>131</v>
      </c>
      <c r="E22" s="12" t="s">
        <v>34</v>
      </c>
      <c r="F22" s="12" t="s">
        <v>35</v>
      </c>
      <c r="G22" s="12" t="s">
        <v>36</v>
      </c>
      <c r="H22" s="12" t="s">
        <v>37</v>
      </c>
      <c r="I22" s="11" t="s">
        <v>137</v>
      </c>
      <c r="J22" s="12" t="s">
        <v>138</v>
      </c>
      <c r="K22" s="13" t="s">
        <v>55</v>
      </c>
      <c r="L22" s="11" t="str">
        <f>"000346"</f>
        <v>000346</v>
      </c>
      <c r="M22" s="10">
        <v>43180</v>
      </c>
      <c r="N22" s="11" t="str">
        <f>"000125"</f>
        <v>000125</v>
      </c>
      <c r="O22" s="10">
        <v>43180</v>
      </c>
      <c r="P22" s="11" t="str">
        <f>"000248"</f>
        <v>000248</v>
      </c>
      <c r="Q22" s="10">
        <v>43180</v>
      </c>
      <c r="R22" s="11">
        <v>17</v>
      </c>
      <c r="S22" s="11" t="str">
        <f>"008157"</f>
        <v>008157</v>
      </c>
      <c r="T22" s="10">
        <v>43455</v>
      </c>
      <c r="U22" s="14">
        <v>20.989599999999999</v>
      </c>
      <c r="V22" s="14">
        <v>2.3504</v>
      </c>
      <c r="W22" s="14">
        <v>18.639199999999999</v>
      </c>
      <c r="X22" s="11">
        <v>306</v>
      </c>
      <c r="Y22" s="10">
        <v>43462</v>
      </c>
      <c r="Z22" s="11">
        <v>9845814773</v>
      </c>
      <c r="AA22" s="12" t="s">
        <v>139</v>
      </c>
      <c r="AB22" s="11" t="s">
        <v>71</v>
      </c>
      <c r="AC22" s="12" t="s">
        <v>72</v>
      </c>
      <c r="AD22" s="11" t="s">
        <v>44</v>
      </c>
      <c r="AE22" s="12" t="s">
        <v>45</v>
      </c>
      <c r="AF22" s="14">
        <f t="shared" si="0"/>
        <v>0.209896</v>
      </c>
      <c r="AG22" s="11" t="s">
        <v>46</v>
      </c>
    </row>
    <row r="23" spans="1:33" x14ac:dyDescent="0.2">
      <c r="A23" s="8">
        <v>8352</v>
      </c>
      <c r="B23" s="9" t="s">
        <v>140</v>
      </c>
      <c r="C23" s="10">
        <v>43467</v>
      </c>
      <c r="D23" s="11">
        <v>131</v>
      </c>
      <c r="E23" s="12" t="s">
        <v>34</v>
      </c>
      <c r="F23" s="12" t="s">
        <v>35</v>
      </c>
      <c r="G23" s="12" t="s">
        <v>36</v>
      </c>
      <c r="H23" s="12" t="s">
        <v>37</v>
      </c>
      <c r="I23" s="11" t="s">
        <v>141</v>
      </c>
      <c r="J23" s="12" t="s">
        <v>142</v>
      </c>
      <c r="K23" s="13" t="s">
        <v>143</v>
      </c>
      <c r="L23" s="11" t="str">
        <f>"000006"</f>
        <v>000006</v>
      </c>
      <c r="M23" s="10">
        <v>43251</v>
      </c>
      <c r="N23" s="11" t="str">
        <f>"000059"</f>
        <v>000059</v>
      </c>
      <c r="O23" s="10">
        <v>43388</v>
      </c>
      <c r="P23" s="11" t="str">
        <f>"000151"</f>
        <v>000151</v>
      </c>
      <c r="Q23" s="10">
        <v>43389</v>
      </c>
      <c r="R23" s="11"/>
      <c r="S23" s="11" t="str">
        <f>"008034"</f>
        <v>008034</v>
      </c>
      <c r="T23" s="10">
        <v>43451</v>
      </c>
      <c r="U23" s="14">
        <v>74.785399999999996</v>
      </c>
      <c r="V23" s="14">
        <v>9.8773</v>
      </c>
      <c r="W23" s="14">
        <v>64.908100000000005</v>
      </c>
      <c r="X23" s="11">
        <v>311</v>
      </c>
      <c r="Y23" s="10">
        <v>43467</v>
      </c>
      <c r="Z23" s="11">
        <v>9900000000</v>
      </c>
      <c r="AA23" s="12" t="s">
        <v>41</v>
      </c>
      <c r="AB23" s="11" t="s">
        <v>111</v>
      </c>
      <c r="AC23" s="12" t="s">
        <v>112</v>
      </c>
      <c r="AD23" s="11" t="s">
        <v>44</v>
      </c>
      <c r="AE23" s="12" t="s">
        <v>45</v>
      </c>
      <c r="AF23" s="14">
        <f t="shared" si="0"/>
        <v>0.74785399999999991</v>
      </c>
      <c r="AG23" s="11" t="s">
        <v>100</v>
      </c>
    </row>
    <row r="24" spans="1:33" x14ac:dyDescent="0.2">
      <c r="A24" s="8">
        <v>8353</v>
      </c>
      <c r="B24" s="9" t="s">
        <v>140</v>
      </c>
      <c r="C24" s="10">
        <v>43467</v>
      </c>
      <c r="D24" s="11">
        <v>131</v>
      </c>
      <c r="E24" s="12" t="s">
        <v>34</v>
      </c>
      <c r="F24" s="12" t="s">
        <v>35</v>
      </c>
      <c r="G24" s="12" t="s">
        <v>36</v>
      </c>
      <c r="H24" s="12" t="s">
        <v>37</v>
      </c>
      <c r="I24" s="11" t="s">
        <v>144</v>
      </c>
      <c r="J24" s="12" t="s">
        <v>145</v>
      </c>
      <c r="K24" s="13" t="s">
        <v>143</v>
      </c>
      <c r="L24" s="11" t="str">
        <f>"000005"</f>
        <v>000005</v>
      </c>
      <c r="M24" s="10">
        <v>43251</v>
      </c>
      <c r="N24" s="11" t="str">
        <f>"000058"</f>
        <v>000058</v>
      </c>
      <c r="O24" s="10">
        <v>43388</v>
      </c>
      <c r="P24" s="11" t="str">
        <f>"000152"</f>
        <v>000152</v>
      </c>
      <c r="Q24" s="10">
        <v>43389</v>
      </c>
      <c r="R24" s="11"/>
      <c r="S24" s="11" t="str">
        <f>"008035"</f>
        <v>008035</v>
      </c>
      <c r="T24" s="10">
        <v>43451</v>
      </c>
      <c r="U24" s="14">
        <v>24.9544</v>
      </c>
      <c r="V24" s="14">
        <v>3.3370000000000002</v>
      </c>
      <c r="W24" s="14">
        <v>21.6174</v>
      </c>
      <c r="X24" s="11">
        <v>311</v>
      </c>
      <c r="Y24" s="10">
        <v>43467</v>
      </c>
      <c r="Z24" s="11">
        <v>9900000000</v>
      </c>
      <c r="AA24" s="12" t="s">
        <v>41</v>
      </c>
      <c r="AB24" s="11" t="s">
        <v>111</v>
      </c>
      <c r="AC24" s="12" t="s">
        <v>112</v>
      </c>
      <c r="AD24" s="11" t="s">
        <v>44</v>
      </c>
      <c r="AE24" s="12" t="s">
        <v>45</v>
      </c>
      <c r="AF24" s="14">
        <f t="shared" si="0"/>
        <v>0.24954399999999999</v>
      </c>
      <c r="AG24" s="11" t="s">
        <v>100</v>
      </c>
    </row>
    <row r="25" spans="1:33" x14ac:dyDescent="0.2">
      <c r="A25" s="8">
        <v>8927</v>
      </c>
      <c r="B25" s="9" t="s">
        <v>146</v>
      </c>
      <c r="C25" s="10">
        <v>43500</v>
      </c>
      <c r="D25" s="11">
        <v>131</v>
      </c>
      <c r="E25" s="12" t="s">
        <v>34</v>
      </c>
      <c r="F25" s="12" t="s">
        <v>35</v>
      </c>
      <c r="G25" s="12" t="s">
        <v>36</v>
      </c>
      <c r="H25" s="12" t="s">
        <v>37</v>
      </c>
      <c r="I25" s="11" t="s">
        <v>147</v>
      </c>
      <c r="J25" s="12" t="s">
        <v>148</v>
      </c>
      <c r="K25" s="13" t="s">
        <v>143</v>
      </c>
      <c r="L25" s="11" t="str">
        <f>"000086"</f>
        <v>000086</v>
      </c>
      <c r="M25" s="10">
        <v>43403</v>
      </c>
      <c r="N25" s="11" t="str">
        <f>"000180"</f>
        <v>000180</v>
      </c>
      <c r="O25" s="10">
        <v>43462</v>
      </c>
      <c r="P25" s="11" t="str">
        <f>"000177"</f>
        <v>000177</v>
      </c>
      <c r="Q25" s="10">
        <v>43462</v>
      </c>
      <c r="R25" s="11"/>
      <c r="S25" s="11" t="str">
        <f>"008681"</f>
        <v>008681</v>
      </c>
      <c r="T25" s="10">
        <v>43475</v>
      </c>
      <c r="U25" s="14">
        <v>1.8181</v>
      </c>
      <c r="V25" s="14">
        <v>0.22836000000000001</v>
      </c>
      <c r="W25" s="14">
        <v>1.5897399999999999</v>
      </c>
      <c r="X25" s="11">
        <v>338</v>
      </c>
      <c r="Y25" s="10">
        <v>43500</v>
      </c>
      <c r="Z25" s="11">
        <v>9964168913</v>
      </c>
      <c r="AA25" s="12" t="s">
        <v>149</v>
      </c>
      <c r="AB25" s="11" t="s">
        <v>111</v>
      </c>
      <c r="AC25" s="12" t="s">
        <v>112</v>
      </c>
      <c r="AD25" s="11" t="s">
        <v>76</v>
      </c>
      <c r="AE25" s="12" t="s">
        <v>77</v>
      </c>
      <c r="AF25" s="14">
        <f t="shared" si="0"/>
        <v>1.8180999999999999E-2</v>
      </c>
      <c r="AG25" s="11" t="s">
        <v>100</v>
      </c>
    </row>
    <row r="26" spans="1:33" x14ac:dyDescent="0.2">
      <c r="A26" s="8">
        <v>8987</v>
      </c>
      <c r="B26" s="9" t="s">
        <v>146</v>
      </c>
      <c r="C26" s="10">
        <v>43502</v>
      </c>
      <c r="D26" s="11">
        <v>131</v>
      </c>
      <c r="E26" s="12" t="s">
        <v>34</v>
      </c>
      <c r="F26" s="12" t="s">
        <v>35</v>
      </c>
      <c r="G26" s="12" t="s">
        <v>36</v>
      </c>
      <c r="H26" s="12" t="s">
        <v>37</v>
      </c>
      <c r="I26" s="11" t="s">
        <v>150</v>
      </c>
      <c r="J26" s="12" t="s">
        <v>151</v>
      </c>
      <c r="K26" s="13" t="s">
        <v>69</v>
      </c>
      <c r="L26" s="11" t="str">
        <f>"000009"</f>
        <v>000009</v>
      </c>
      <c r="M26" s="10">
        <v>43305</v>
      </c>
      <c r="N26" s="11" t="str">
        <f>"000146"</f>
        <v>000146</v>
      </c>
      <c r="O26" s="10">
        <v>43428</v>
      </c>
      <c r="P26" s="11" t="str">
        <f>"000144"</f>
        <v>000144</v>
      </c>
      <c r="Q26" s="10">
        <v>43428</v>
      </c>
      <c r="R26" s="11"/>
      <c r="S26" s="11" t="str">
        <f>"009063"</f>
        <v>009063</v>
      </c>
      <c r="T26" s="10">
        <v>43501</v>
      </c>
      <c r="U26" s="14">
        <v>59.966790000000003</v>
      </c>
      <c r="V26" s="14">
        <v>7.4298200000000003</v>
      </c>
      <c r="W26" s="14">
        <v>52.536969999999997</v>
      </c>
      <c r="X26" s="11">
        <v>342</v>
      </c>
      <c r="Y26" s="10">
        <v>43502</v>
      </c>
      <c r="Z26" s="11">
        <v>9845351993</v>
      </c>
      <c r="AA26" s="12" t="s">
        <v>152</v>
      </c>
      <c r="AB26" s="11" t="s">
        <v>50</v>
      </c>
      <c r="AC26" s="12" t="s">
        <v>51</v>
      </c>
      <c r="AD26" s="11" t="s">
        <v>76</v>
      </c>
      <c r="AE26" s="12" t="s">
        <v>77</v>
      </c>
      <c r="AF26" s="14">
        <f t="shared" si="0"/>
        <v>0.59966790000000003</v>
      </c>
      <c r="AG26" s="11" t="s">
        <v>100</v>
      </c>
    </row>
    <row r="27" spans="1:33" x14ac:dyDescent="0.2">
      <c r="A27" s="8">
        <v>9447</v>
      </c>
      <c r="B27" s="9" t="s">
        <v>153</v>
      </c>
      <c r="C27" s="10">
        <v>43526</v>
      </c>
      <c r="D27" s="11">
        <v>131</v>
      </c>
      <c r="E27" s="12" t="s">
        <v>34</v>
      </c>
      <c r="F27" s="12" t="s">
        <v>35</v>
      </c>
      <c r="G27" s="12" t="s">
        <v>36</v>
      </c>
      <c r="H27" s="12" t="s">
        <v>37</v>
      </c>
      <c r="I27" s="11" t="s">
        <v>154</v>
      </c>
      <c r="J27" s="12" t="s">
        <v>155</v>
      </c>
      <c r="K27" s="13" t="s">
        <v>143</v>
      </c>
      <c r="L27" s="11" t="str">
        <f>"000085"</f>
        <v>000085</v>
      </c>
      <c r="M27" s="10">
        <v>43403</v>
      </c>
      <c r="N27" s="11" t="str">
        <f>"000201"</f>
        <v>000201</v>
      </c>
      <c r="O27" s="10">
        <v>43495</v>
      </c>
      <c r="P27" s="11" t="str">
        <f>"000209"</f>
        <v>000209</v>
      </c>
      <c r="Q27" s="10">
        <v>43497</v>
      </c>
      <c r="R27" s="11"/>
      <c r="S27" s="11" t="str">
        <f>"009464"</f>
        <v>009464</v>
      </c>
      <c r="T27" s="10">
        <v>43519</v>
      </c>
      <c r="U27" s="14">
        <v>0.99207999999999996</v>
      </c>
      <c r="V27" s="14">
        <v>0.12559999999999999</v>
      </c>
      <c r="W27" s="14">
        <v>0.86648000000000003</v>
      </c>
      <c r="X27" s="11">
        <v>364</v>
      </c>
      <c r="Y27" s="10">
        <v>43526</v>
      </c>
      <c r="Z27" s="11">
        <v>9946168913</v>
      </c>
      <c r="AA27" s="12" t="s">
        <v>149</v>
      </c>
      <c r="AB27" s="11" t="s">
        <v>111</v>
      </c>
      <c r="AC27" s="12" t="s">
        <v>112</v>
      </c>
      <c r="AD27" s="11" t="s">
        <v>76</v>
      </c>
      <c r="AE27" s="12" t="s">
        <v>77</v>
      </c>
      <c r="AF27" s="14">
        <f t="shared" si="0"/>
        <v>9.9208000000000005E-3</v>
      </c>
      <c r="AG27" s="11" t="s">
        <v>100</v>
      </c>
    </row>
    <row r="28" spans="1:33" x14ac:dyDescent="0.2">
      <c r="A28" s="8">
        <v>9780</v>
      </c>
      <c r="B28" s="9" t="s">
        <v>153</v>
      </c>
      <c r="C28" s="10">
        <v>43544</v>
      </c>
      <c r="D28" s="11">
        <v>131</v>
      </c>
      <c r="E28" s="12" t="s">
        <v>34</v>
      </c>
      <c r="F28" s="12" t="s">
        <v>35</v>
      </c>
      <c r="G28" s="12" t="s">
        <v>36</v>
      </c>
      <c r="H28" s="12" t="s">
        <v>37</v>
      </c>
      <c r="I28" s="11" t="s">
        <v>156</v>
      </c>
      <c r="J28" s="12" t="s">
        <v>157</v>
      </c>
      <c r="K28" s="13" t="s">
        <v>49</v>
      </c>
      <c r="L28" s="11" t="str">
        <f>"000331"</f>
        <v>000331</v>
      </c>
      <c r="M28" s="10">
        <v>43179</v>
      </c>
      <c r="N28" s="11" t="str">
        <f>"000057"</f>
        <v>000057</v>
      </c>
      <c r="O28" s="10">
        <v>43388</v>
      </c>
      <c r="P28" s="11" t="str">
        <f>"000150"</f>
        <v>000150</v>
      </c>
      <c r="Q28" s="10">
        <v>43389</v>
      </c>
      <c r="R28" s="11"/>
      <c r="S28" s="11" t="str">
        <f>"009664"</f>
        <v>009664</v>
      </c>
      <c r="T28" s="10">
        <v>43536</v>
      </c>
      <c r="U28" s="14">
        <v>49.9041</v>
      </c>
      <c r="V28" s="14">
        <v>6.7819000000000003</v>
      </c>
      <c r="W28" s="14">
        <v>43.122199999999999</v>
      </c>
      <c r="X28" s="11">
        <v>379</v>
      </c>
      <c r="Y28" s="10">
        <v>43544</v>
      </c>
      <c r="Z28" s="11">
        <v>9900000000</v>
      </c>
      <c r="AA28" s="12" t="s">
        <v>41</v>
      </c>
      <c r="AB28" s="11" t="s">
        <v>64</v>
      </c>
      <c r="AC28" s="12" t="s">
        <v>65</v>
      </c>
      <c r="AD28" s="11" t="s">
        <v>44</v>
      </c>
      <c r="AE28" s="12" t="s">
        <v>45</v>
      </c>
      <c r="AF28" s="14">
        <f t="shared" si="0"/>
        <v>0.49904100000000001</v>
      </c>
      <c r="AG28" s="11" t="s">
        <v>56</v>
      </c>
    </row>
    <row r="29" spans="1:33" x14ac:dyDescent="0.2">
      <c r="A29" s="8">
        <v>9958</v>
      </c>
      <c r="B29" s="9" t="s">
        <v>153</v>
      </c>
      <c r="C29" s="10">
        <v>43552</v>
      </c>
      <c r="D29" s="11">
        <v>131</v>
      </c>
      <c r="E29" s="12" t="s">
        <v>34</v>
      </c>
      <c r="F29" s="12" t="s">
        <v>35</v>
      </c>
      <c r="G29" s="12" t="s">
        <v>36</v>
      </c>
      <c r="H29" s="12" t="s">
        <v>37</v>
      </c>
      <c r="I29" s="11" t="s">
        <v>158</v>
      </c>
      <c r="J29" s="12" t="s">
        <v>159</v>
      </c>
      <c r="K29" s="13" t="s">
        <v>160</v>
      </c>
      <c r="L29" s="11" t="str">
        <f>"000298"</f>
        <v>000298</v>
      </c>
      <c r="M29" s="10">
        <v>43385</v>
      </c>
      <c r="N29" s="11" t="str">
        <f>"000071"</f>
        <v>000071</v>
      </c>
      <c r="O29" s="10">
        <v>43501</v>
      </c>
      <c r="P29" s="11" t="str">
        <f>"000187"</f>
        <v>000187</v>
      </c>
      <c r="Q29" s="10">
        <v>43501</v>
      </c>
      <c r="R29" s="11"/>
      <c r="S29" s="11" t="str">
        <f>"010032"</f>
        <v>010032</v>
      </c>
      <c r="T29" s="10">
        <v>43551</v>
      </c>
      <c r="U29" s="14">
        <v>4.8468999999999998</v>
      </c>
      <c r="V29" s="14">
        <v>0.75895999999999997</v>
      </c>
      <c r="W29" s="14">
        <v>4.0879399999999997</v>
      </c>
      <c r="X29" s="11">
        <v>389</v>
      </c>
      <c r="Y29" s="10">
        <v>43552</v>
      </c>
      <c r="Z29" s="11">
        <v>9900000000</v>
      </c>
      <c r="AA29" s="12" t="s">
        <v>41</v>
      </c>
      <c r="AB29" s="11" t="s">
        <v>161</v>
      </c>
      <c r="AC29" s="12" t="s">
        <v>162</v>
      </c>
      <c r="AD29" s="11" t="s">
        <v>44</v>
      </c>
      <c r="AE29" s="12" t="s">
        <v>45</v>
      </c>
      <c r="AF29" s="14">
        <f t="shared" si="0"/>
        <v>4.8468999999999998E-2</v>
      </c>
      <c r="AG29" s="11" t="s">
        <v>100</v>
      </c>
    </row>
    <row r="30" spans="1:33" x14ac:dyDescent="0.2">
      <c r="A30" s="8">
        <v>9959</v>
      </c>
      <c r="B30" s="9" t="s">
        <v>153</v>
      </c>
      <c r="C30" s="10">
        <v>43552</v>
      </c>
      <c r="D30" s="11">
        <v>131</v>
      </c>
      <c r="E30" s="12" t="s">
        <v>34</v>
      </c>
      <c r="F30" s="12" t="s">
        <v>35</v>
      </c>
      <c r="G30" s="12" t="s">
        <v>36</v>
      </c>
      <c r="H30" s="12" t="s">
        <v>37</v>
      </c>
      <c r="I30" s="11" t="s">
        <v>163</v>
      </c>
      <c r="J30" s="12" t="s">
        <v>164</v>
      </c>
      <c r="K30" s="13" t="s">
        <v>165</v>
      </c>
      <c r="L30" s="11" t="str">
        <f>"000299"</f>
        <v>000299</v>
      </c>
      <c r="M30" s="10">
        <v>43385</v>
      </c>
      <c r="N30" s="11" t="str">
        <f>"000070"</f>
        <v>000070</v>
      </c>
      <c r="O30" s="10">
        <v>43501</v>
      </c>
      <c r="P30" s="11" t="str">
        <f>"000188"</f>
        <v>000188</v>
      </c>
      <c r="Q30" s="10">
        <v>43501</v>
      </c>
      <c r="R30" s="11"/>
      <c r="S30" s="11" t="str">
        <f>"010033"</f>
        <v>010033</v>
      </c>
      <c r="T30" s="10">
        <v>43551</v>
      </c>
      <c r="U30" s="14">
        <v>4.9901</v>
      </c>
      <c r="V30" s="14">
        <v>0.90259</v>
      </c>
      <c r="W30" s="14">
        <v>4.08751</v>
      </c>
      <c r="X30" s="11">
        <v>389</v>
      </c>
      <c r="Y30" s="10">
        <v>43552</v>
      </c>
      <c r="Z30" s="11">
        <v>9900000000</v>
      </c>
      <c r="AA30" s="12" t="s">
        <v>41</v>
      </c>
      <c r="AB30" s="11" t="s">
        <v>166</v>
      </c>
      <c r="AC30" s="12" t="s">
        <v>167</v>
      </c>
      <c r="AD30" s="11" t="s">
        <v>44</v>
      </c>
      <c r="AE30" s="12" t="s">
        <v>45</v>
      </c>
      <c r="AF30" s="14">
        <f t="shared" si="0"/>
        <v>4.9901000000000001E-2</v>
      </c>
      <c r="AG30" s="11" t="s">
        <v>100</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2019-06-13T11:52:37Z</dcterms:modified>
</cp:coreProperties>
</file>