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01" i="1" l="1"/>
  <c r="S101" i="1"/>
  <c r="P101" i="1"/>
  <c r="N101" i="1"/>
  <c r="L101" i="1"/>
  <c r="AF100" i="1"/>
  <c r="S100" i="1"/>
  <c r="P100" i="1"/>
  <c r="N100" i="1"/>
  <c r="L100" i="1"/>
  <c r="AF99" i="1"/>
  <c r="S99" i="1"/>
  <c r="P99" i="1"/>
  <c r="N99" i="1"/>
  <c r="L99" i="1"/>
  <c r="AF98" i="1"/>
  <c r="S98" i="1"/>
  <c r="P98" i="1"/>
  <c r="N98" i="1"/>
  <c r="L98" i="1"/>
  <c r="AF97" i="1"/>
  <c r="S97" i="1"/>
  <c r="P97" i="1"/>
  <c r="N97" i="1"/>
  <c r="L97" i="1"/>
  <c r="AF96" i="1"/>
  <c r="S96" i="1"/>
  <c r="P96" i="1"/>
  <c r="N96" i="1"/>
  <c r="L96" i="1"/>
  <c r="AF95" i="1"/>
  <c r="S95" i="1"/>
  <c r="P95" i="1"/>
  <c r="N95" i="1"/>
  <c r="L95" i="1"/>
  <c r="AF94" i="1"/>
  <c r="S94" i="1"/>
  <c r="P94" i="1"/>
  <c r="N94" i="1"/>
  <c r="L94" i="1"/>
  <c r="AF93" i="1"/>
  <c r="S93" i="1"/>
  <c r="P93" i="1"/>
  <c r="N93" i="1"/>
  <c r="L93" i="1"/>
  <c r="AF92" i="1"/>
  <c r="S92" i="1"/>
  <c r="P92" i="1"/>
  <c r="N92" i="1"/>
  <c r="L92" i="1"/>
  <c r="AF91" i="1"/>
  <c r="S91" i="1"/>
  <c r="P91" i="1"/>
  <c r="N91" i="1"/>
  <c r="L91" i="1"/>
  <c r="AF90" i="1"/>
  <c r="S90" i="1"/>
  <c r="P90" i="1"/>
  <c r="N90" i="1"/>
  <c r="L90" i="1"/>
  <c r="AF89" i="1"/>
  <c r="S89" i="1"/>
  <c r="P89" i="1"/>
  <c r="N89" i="1"/>
  <c r="L89" i="1"/>
  <c r="AF88" i="1"/>
  <c r="S88" i="1"/>
  <c r="P88" i="1"/>
  <c r="N88" i="1"/>
  <c r="L88" i="1"/>
  <c r="AF87" i="1"/>
  <c r="S87" i="1"/>
  <c r="P87" i="1"/>
  <c r="N87" i="1"/>
  <c r="L87" i="1"/>
  <c r="AF86" i="1"/>
  <c r="S86" i="1"/>
  <c r="P86" i="1"/>
  <c r="N86" i="1"/>
  <c r="L86" i="1"/>
  <c r="AF85" i="1"/>
  <c r="S85" i="1"/>
  <c r="P85" i="1"/>
  <c r="N85" i="1"/>
  <c r="L85" i="1"/>
  <c r="AF84" i="1"/>
  <c r="S84" i="1"/>
  <c r="P84" i="1"/>
  <c r="N84" i="1"/>
  <c r="L84" i="1"/>
  <c r="AF83" i="1"/>
  <c r="S83" i="1"/>
  <c r="P83" i="1"/>
  <c r="N83" i="1"/>
  <c r="L83" i="1"/>
  <c r="AF82" i="1"/>
  <c r="S82" i="1"/>
  <c r="P82" i="1"/>
  <c r="N82" i="1"/>
  <c r="L82" i="1"/>
  <c r="AF81" i="1"/>
  <c r="S81" i="1"/>
  <c r="P81" i="1"/>
  <c r="N81" i="1"/>
  <c r="L81" i="1"/>
  <c r="AF80" i="1"/>
  <c r="S80" i="1"/>
  <c r="P80" i="1"/>
  <c r="N80" i="1"/>
  <c r="L80" i="1"/>
  <c r="AF79" i="1"/>
  <c r="S79" i="1"/>
  <c r="P79" i="1"/>
  <c r="N79" i="1"/>
  <c r="L79" i="1"/>
  <c r="AF78" i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S65" i="1"/>
  <c r="P65" i="1"/>
  <c r="N65" i="1"/>
  <c r="L65" i="1"/>
  <c r="S64" i="1"/>
  <c r="P64" i="1"/>
  <c r="N64" i="1"/>
  <c r="L64" i="1"/>
  <c r="S63" i="1"/>
  <c r="P63" i="1"/>
  <c r="N63" i="1"/>
  <c r="L63" i="1"/>
  <c r="S62" i="1"/>
  <c r="P62" i="1"/>
  <c r="N62" i="1"/>
  <c r="L62" i="1"/>
  <c r="S61" i="1"/>
  <c r="P61" i="1"/>
  <c r="N61" i="1"/>
  <c r="L61" i="1"/>
  <c r="S60" i="1"/>
  <c r="P60" i="1"/>
  <c r="N60" i="1"/>
  <c r="L60" i="1"/>
  <c r="S59" i="1"/>
  <c r="P59" i="1"/>
  <c r="N59" i="1"/>
  <c r="L59" i="1"/>
  <c r="S58" i="1"/>
  <c r="P58" i="1"/>
  <c r="N58" i="1"/>
  <c r="L58" i="1"/>
  <c r="S57" i="1"/>
  <c r="P57" i="1"/>
  <c r="N57" i="1"/>
  <c r="L57" i="1"/>
  <c r="S56" i="1"/>
  <c r="P56" i="1"/>
  <c r="N56" i="1"/>
  <c r="L56" i="1"/>
  <c r="S55" i="1"/>
  <c r="P55" i="1"/>
  <c r="N55" i="1"/>
  <c r="L55" i="1"/>
  <c r="S54" i="1"/>
  <c r="P54" i="1"/>
  <c r="N54" i="1"/>
  <c r="L54" i="1"/>
  <c r="S53" i="1"/>
  <c r="P53" i="1"/>
  <c r="N53" i="1"/>
  <c r="L53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<sst xmlns="http://schemas.openxmlformats.org/spreadsheetml/2006/main" count="1433" uniqueCount="340">
  <si>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</si>
  <si>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</si>
  <si>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</si>
  <si>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</si>
  <si>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</si>
  <si>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</si>
  <si>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</si>
  <si>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</si>
  <si>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</si>
  <si>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</si>
  <si>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</si>
  <si>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</si>
  <si>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</si>
  <si>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</si>
  <si>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</si>
  <si>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</si>
  <si>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</si>
  <si>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</si>
  <si>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</si>
  <si>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</si>
  <si>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</si>
  <si>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</si>
  <si>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</si>
  <si>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</si>
  <si>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</si>
  <si>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</si>
  <si>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</si>
  <si>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</si>
  <si>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</si>
  <si>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</si>
  <si>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</si>
  <si>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</si>
  <si>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</si>
  <si>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</si>
  <si>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Jagajivanaram Nagara</t>
  </si>
  <si>
    <t>Jagajeevanram Nagara</t>
  </si>
  <si>
    <t>Chamaraja Pete</t>
  </si>
  <si>
    <t>West</t>
  </si>
  <si>
    <t>136-18-000047</t>
  </si>
  <si>
    <t>Construction of RCC Retaining wall to SWD from 0.00mtr to 35.00mtr chainage 5th cross to 6th cross mysore road in JJR Nagar ward no 136</t>
  </si>
  <si>
    <t>Other Ward Works</t>
  </si>
  <si>
    <t xml:space="preserve"> K Boraiah</t>
  </si>
  <si>
    <t>P3297</t>
  </si>
  <si>
    <t>14th Finance Commission Grants - SWD Works</t>
  </si>
  <si>
    <t>ddo268</t>
  </si>
  <si>
    <t xml:space="preserve"> Assistant Executive Engineer J J R nagar West Zone</t>
  </si>
  <si>
    <t>Pending</t>
  </si>
  <si>
    <t>136-18-000046</t>
  </si>
  <si>
    <t>Construction of RCC Retaining wall to SWD from 35.00mtr to 70.00mtr chainage 5th cross to 6th cross mysore road in JJR Nagar ward no 136</t>
  </si>
  <si>
    <t>Boraiah</t>
  </si>
  <si>
    <t>136-18-000041</t>
  </si>
  <si>
    <t>Drilling and commissionning of new borewell in Olesh colony 4th cross in JJR Nagar ward no 136</t>
  </si>
  <si>
    <t>Water &amp; Sanitary</t>
  </si>
  <si>
    <t>G Somashekar</t>
  </si>
  <si>
    <t>P3293</t>
  </si>
  <si>
    <t>14th Finance Commission Works - Drinking Water</t>
  </si>
  <si>
    <t>136-18-000038</t>
  </si>
  <si>
    <t>Drilling and commissionning of new borewell in Janatha colony A part (1st cross) and providing water supply lines in JJR Nagar ward no 136</t>
  </si>
  <si>
    <t>136-18-000048</t>
  </si>
  <si>
    <t>Improvements and reconstruction of SWD at 5th cross Padarayanapura in JJR Nagar ward no 136</t>
  </si>
  <si>
    <t>136-18-000054</t>
  </si>
  <si>
    <t>Improvements to existing toilets in JJR Nagar Park in ward no 136</t>
  </si>
  <si>
    <t>Trees, Parks &amp; Playgrounds</t>
  </si>
  <si>
    <t>V Ramesh Babu</t>
  </si>
  <si>
    <t>P3294</t>
  </si>
  <si>
    <t>14th Finance Commission Works - General Public ToiletandSeptage Maintenance</t>
  </si>
  <si>
    <t>136-18-000040</t>
  </si>
  <si>
    <t>Drilling and commissionning of new borewell in 7th cross 16th main Devarajurs nagar in JJR Nagar ward no 136</t>
  </si>
  <si>
    <t>Pavithra Ramesh</t>
  </si>
  <si>
    <t>136-18-000039</t>
  </si>
  <si>
    <t>Drilling and commissionning of new borewell in Ummar Faroquie Nagar back side muslim burial ground in JJR Nagar ward no 136</t>
  </si>
  <si>
    <t>136-18-000052</t>
  </si>
  <si>
    <t>Maintenance and improvements to JJR Nagar park in JJR Nagar in ward no 136</t>
  </si>
  <si>
    <t>Rajanna</t>
  </si>
  <si>
    <t>P3292</t>
  </si>
  <si>
    <t>14th Finance Commission Works - Community Property Maintenance (including Parks)</t>
  </si>
  <si>
    <t>136-18-000053</t>
  </si>
  <si>
    <t>Providing water supply Lines for Drinking water works in Mominpura farquie nagar D E F and G Cross in JJR Nagar in ward no 136</t>
  </si>
  <si>
    <t>Drinking Water</t>
  </si>
  <si>
    <t>V Ramesh Babu (Arya &amp; Co)</t>
  </si>
  <si>
    <t>May</t>
  </si>
  <si>
    <t>136-17-000025</t>
  </si>
  <si>
    <t>Maintenance to existing and Providing New ornamental and street name boards, maintenance of drains in ward Jurisdiction in ward no 136</t>
  </si>
  <si>
    <t>Roads &amp; Drivablility</t>
  </si>
  <si>
    <t>P3111</t>
  </si>
  <si>
    <t>State Finance Commission Untied Grant Works</t>
  </si>
  <si>
    <t>Current</t>
  </si>
  <si>
    <t>136-17-000018</t>
  </si>
  <si>
    <t>Annual maintenance of BBMP Rangamandir, Bangalore one, ward office and corporator office building in JJR Nagar ward no 136</t>
  </si>
  <si>
    <t xml:space="preserve">  G Somashekar</t>
  </si>
  <si>
    <t>136-17-000023</t>
  </si>
  <si>
    <t>Annual Maintenance and repairs of BBMP park in JJR Nagar ward no 136</t>
  </si>
  <si>
    <t>136-17-000079</t>
  </si>
  <si>
    <t>Engagement of Gangman and Hiring of Tractor Tippers for cleaning and Maintenance of road side drains and other cleaning works in works in ward no 136</t>
  </si>
  <si>
    <t>P3110</t>
  </si>
  <si>
    <t>14th Finance Commission Grant Works</t>
  </si>
  <si>
    <t>136-18-000042</t>
  </si>
  <si>
    <t>Construction of new toilet block building at Mominpura slum in JJR Nagar ward no 136</t>
  </si>
  <si>
    <t>136-18-000043</t>
  </si>
  <si>
    <t>Construction of new toilet block building at Janatha colony slum 2nd cross in JJR Nagar ward no 136</t>
  </si>
  <si>
    <t>136-18-000058</t>
  </si>
  <si>
    <t>Development works to SWM center in JJR Nagar in ward no 136</t>
  </si>
  <si>
    <t xml:space="preserve"> G Somashekar</t>
  </si>
  <si>
    <t>P3298</t>
  </si>
  <si>
    <t>14th Finance Commission Works - SWM Works</t>
  </si>
  <si>
    <t>136-18-000057</t>
  </si>
  <si>
    <t>Improvements and repairs to damaged secondary drain of SWD in 6th cross Mysore road in JJR Nagar ward no 136</t>
  </si>
  <si>
    <t>Footpaths &amp; Walkability</t>
  </si>
  <si>
    <t>136-18-000045</t>
  </si>
  <si>
    <t>Providing new UGD Sanitary lines to Janatha colony slum A and B Parts in JJR Nagar ward no 136</t>
  </si>
  <si>
    <t>P3295</t>
  </si>
  <si>
    <t>14th Finance Commission Works - UGD Works</t>
  </si>
  <si>
    <t>136-18-000051</t>
  </si>
  <si>
    <t>Maintenance of burial ground in HBG road in JJR Nagarin ward no 136</t>
  </si>
  <si>
    <t>P3291</t>
  </si>
  <si>
    <t>14th Fin  -Maintenance of Cremotorium, Burial Grounds</t>
  </si>
  <si>
    <t>June</t>
  </si>
  <si>
    <t>136-17-000060</t>
  </si>
  <si>
    <t>Providing Water supply line and sinking of new borewells in ward jurisidction JJR Nagar in ward No. 136</t>
  </si>
  <si>
    <t>P1771</t>
  </si>
  <si>
    <t>Zone Works - POW Works</t>
  </si>
  <si>
    <t>136-17-000069</t>
  </si>
  <si>
    <t>Providing Water supply line from existing borwells in vinayakanagar, Devaraj Urs Nagar JJR Nagar in ward No. 136</t>
  </si>
  <si>
    <t>136-18-000096</t>
  </si>
  <si>
    <t>Restoration of roads and drains and other developmental works janatha colony in ward no-136 jjr nagar</t>
  </si>
  <si>
    <t>P1878</t>
  </si>
  <si>
    <t>18per - Works (Bhagyajyothi, Sooru / Neeru Yojane and General) (54 Lakhs / New Wards)</t>
  </si>
  <si>
    <t>136-17-000068</t>
  </si>
  <si>
    <t xml:space="preserve"> Renovation of BBMP Ward office and Corporator office in ward No. 136 </t>
  </si>
  <si>
    <t>136-18-000044</t>
  </si>
  <si>
    <t>Providing new UGD Sanitary lines to Mominpura G.H.I and J streets in JJR Nagar ward no 136</t>
  </si>
  <si>
    <t>136-16-000002</t>
  </si>
  <si>
    <t>Construction of RCC U shaped drain to damaged SWD V-103 in V.valley in janatha colony JJR nagar near mysore road 2nd cross in Ward No.136</t>
  </si>
  <si>
    <t>Sri.B.P.Naveen</t>
  </si>
  <si>
    <t>P3106</t>
  </si>
  <si>
    <t>Nagarothana Works</t>
  </si>
  <si>
    <t>ddo313</t>
  </si>
  <si>
    <t xml:space="preserve"> Chief Engineer SWD Central Zone</t>
  </si>
  <si>
    <t>136-16-000003</t>
  </si>
  <si>
    <t xml:space="preserve">Construction of RCC U shaped drain to damaged SWD V-103 in V.valley in vinayaka nagara old guddada halli near mysore road 6th cross to 7th cross in Ward No.136 </t>
  </si>
  <si>
    <t>136-18-000056</t>
  </si>
  <si>
    <t>Improvements to Footpath in Mysore road from 1st cross to Bharath petrol bunk in JJR Nagar ward no 136</t>
  </si>
  <si>
    <t>P3296</t>
  </si>
  <si>
    <t>14th Finance Commission Works - Road and Footpath Maintenance</t>
  </si>
  <si>
    <t>136-17-000076</t>
  </si>
  <si>
    <t>Repairs to BBMP Anganawadi school toilets in JJR Nagar in ward no 136</t>
  </si>
  <si>
    <t>Health &amp; Sanitation</t>
  </si>
  <si>
    <t>136-18-000095</t>
  </si>
  <si>
    <t>Construction of compound wall at janatha colony from angala parameshwari temple to mahadeswara store in ward no-136 jjr nagar</t>
  </si>
  <si>
    <t>136-18-000094</t>
  </si>
  <si>
    <t>Construction of compound wall at janatha colony from Mominpura entrance to angala parameshwari temple in ward no-136 jjr nagar</t>
  </si>
  <si>
    <t>136-14-000035</t>
  </si>
  <si>
    <t>Construction of Drain in 3rd cross from Hosahally main road to 5th main road of Padarayanapura in Ward No - 136</t>
  </si>
  <si>
    <t>P2434</t>
  </si>
  <si>
    <t>Development works for Bangalore City</t>
  </si>
  <si>
    <t>136-14-000037</t>
  </si>
  <si>
    <t>Improvement to drain in 4th cross Mysore Road in Ward No - 136</t>
  </si>
  <si>
    <t>K Boraiah</t>
  </si>
  <si>
    <t>136-14-000038</t>
  </si>
  <si>
    <t>mprovement to drain in 5th cross Mysore Road in Ward No - 136</t>
  </si>
  <si>
    <t>136-14-000043</t>
  </si>
  <si>
    <t>Improvement to Secondary drain in 6th cross to 7th Cross in Ward No - 136</t>
  </si>
  <si>
    <t>136-14-000042</t>
  </si>
  <si>
    <t>Improvements to Secondary drain in 4th cross to 6th cross in Padayarayanapura in Ward No - 136</t>
  </si>
  <si>
    <t>136-16-000022</t>
  </si>
  <si>
    <t>Reconstruction of Secondary Drain of gully road to 3rd main Padarayanapura near kinto school in ward no 136</t>
  </si>
  <si>
    <t xml:space="preserve">G Somashekar </t>
  </si>
  <si>
    <t>P0190</t>
  </si>
  <si>
    <t>Works sanctioned by Hon Mayor</t>
  </si>
  <si>
    <t>136-16-000027</t>
  </si>
  <si>
    <t>Improvement to Drain in 1st cross, Vinayakanagar South side by 6th cross to 7th cross, pipeline road in ward no 136</t>
  </si>
  <si>
    <t>136-16-000024</t>
  </si>
  <si>
    <t>Construction of Drain in 6th cross, Mysore road in western side in ward no 136</t>
  </si>
  <si>
    <t>136-16-000020</t>
  </si>
  <si>
    <t>Construction of Secondary drain from Gully road to Venkatarama House in ward no 136</t>
  </si>
  <si>
    <t>136-16-000026</t>
  </si>
  <si>
    <t>Construction of Drain in 6th cross, Mysore road in Western side in ward no 136</t>
  </si>
  <si>
    <t>136-16-000025</t>
  </si>
  <si>
    <t>Construction of Drain in 6th cross, Mysore road in Eastern side in ward no 136</t>
  </si>
  <si>
    <t>136-16-000023</t>
  </si>
  <si>
    <t>Reconstruction of Secondary Drain from 3rd main Padarayanapura to Makka Masidi drain in ward no 136</t>
  </si>
  <si>
    <t>Somashekar. G</t>
  </si>
  <si>
    <t>136-16-000021</t>
  </si>
  <si>
    <t>Reconstruction of Secondary Drain from 5th main Padarayanapura to gully road in ward no 136</t>
  </si>
  <si>
    <t>136-16-000010</t>
  </si>
  <si>
    <t>Improvments to CC road in Drain in gully road at 4th A cross Vinayakanagar in ward no 136</t>
  </si>
  <si>
    <t>Somashekar.G</t>
  </si>
  <si>
    <t>136-16-000012</t>
  </si>
  <si>
    <t>Providing CC to gully roads Nave Iyahaji Amme Durga surrounding area in Ummar Farooque nagar in ward no 136 JJR nagar</t>
  </si>
  <si>
    <t>136-16-000011</t>
  </si>
  <si>
    <t>Providing CC to gully roads Nave Hussain shah Darga area in Ummar Farooque nagar in ward no 136 JJR nagar</t>
  </si>
  <si>
    <t>136-16-000007</t>
  </si>
  <si>
    <t>Improvements drains and providing CC to Gully roads to North side at Ummar Farooque nagar in ward no 136 JJr nagar</t>
  </si>
  <si>
    <t>136-16-000019</t>
  </si>
  <si>
    <t>Construction of Secondary drain from BWSSB Office to Gully road, Near park in ward no 136</t>
  </si>
  <si>
    <t>136-16-000028</t>
  </si>
  <si>
    <t>Construction of Drain from in 2nd cross, Vinayakanagar Improvement to drain from 6th cross to 7th cross road in ward no 136</t>
  </si>
  <si>
    <t>July</t>
  </si>
  <si>
    <t>136-17-000007</t>
  </si>
  <si>
    <t>Providing water supply Sanitary connection repair and maintenance to footpath from 5th main 1st cross up to 1st main road Padarayanapura in ward 136</t>
  </si>
  <si>
    <t>Somashekar G</t>
  </si>
  <si>
    <t>136-17-000004</t>
  </si>
  <si>
    <t>Providing Water supply Sanitary connection repairs and maintenance to 2nd cross Hosahalli main road and Maintenance of roads in ward no 136</t>
  </si>
  <si>
    <t>G.Somashekar</t>
  </si>
  <si>
    <t>136-17-000008</t>
  </si>
  <si>
    <t>Providing water supply Sanitary connection repair and maintenance of CC to 2nd main 3rd cross Padarayanapura in ward 136</t>
  </si>
  <si>
    <t>136-17-000016</t>
  </si>
  <si>
    <t>Filling of Potholes for Road cut portion in ward Jurisdicton ward in ward no 136</t>
  </si>
  <si>
    <t>136-17-000015</t>
  </si>
  <si>
    <t>Repairs and maintenance to Damaged culverts and CC roads near Banaras Masijid and surrounding area in Vinayakanagara in ward no 136</t>
  </si>
  <si>
    <t>136-17-000013</t>
  </si>
  <si>
    <t>Repair and maintenance of damaged culverts in ward jurisdiction in ward 136</t>
  </si>
  <si>
    <t>136-17-000005</t>
  </si>
  <si>
    <t>Providing Water supply Sanitary connection repairs and maintenance to 3rd main 4th cross and surrounding area in ward no 136</t>
  </si>
  <si>
    <t>136-18-000092</t>
  </si>
  <si>
    <t>Construction of compound wall at janatha colony opp to electrical crematorium entrance in ward no-136 jjr nagar</t>
  </si>
  <si>
    <t>136-18-000055</t>
  </si>
  <si>
    <t>Providing and improvements to UGD lines in 3rd cross Vinayaka nagar 5th cross Padarayanapura in JJR Nagar in ward no 136</t>
  </si>
  <si>
    <t>Somashekar .G</t>
  </si>
  <si>
    <t>August</t>
  </si>
  <si>
    <t>136-17-000012</t>
  </si>
  <si>
    <t>Providing water supply Sanitary connection repair and maintenance to 15th cross Devaraj Urs nagar and surrounding area in ward 136</t>
  </si>
  <si>
    <t>136-17-000011</t>
  </si>
  <si>
    <t>Providing water supply Sanitary connection repair and maintenance to 14th cross Devaraj Urs nagar and surrounding area in ward 136</t>
  </si>
  <si>
    <t>Somshekar G</t>
  </si>
  <si>
    <t>136-17-000009</t>
  </si>
  <si>
    <t>Providing water supply Sanitary connection repair and maintenance of CC Road in 13th main Devaraj Urs nagar and main in ward 136</t>
  </si>
  <si>
    <t>136-17-000006</t>
  </si>
  <si>
    <t>Providing Water supply Sanitary connection and maintenance repairs to footpath from 5th main in 3rd cross up to HBG main road left hand side ward 136 in ward no 136</t>
  </si>
  <si>
    <t>136-16-000001</t>
  </si>
  <si>
    <t>Annual Operation And maintenance Of Street Lights at J.J.R nagara and Raypura in Ward No- 136 and 137</t>
  </si>
  <si>
    <t>Himagiri Sree Electricals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</si>
  <si>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</si>
  <si>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</si>
  <si>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</si>
  <si>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</si>
  <si>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September</t>
  </si>
  <si>
    <t>136-14-000009</t>
  </si>
  <si>
    <t xml:space="preserve">Resurfacing in 4th Cross Padarayanapura and Mysore Road to Subhaniya Masjid Road in Old Guddahalli Ward No 136 </t>
  </si>
  <si>
    <t>B K VINOD KUMAR</t>
  </si>
  <si>
    <t>136-17-000010</t>
  </si>
  <si>
    <t>Providing water supply Sanitary connection repair and maintenance of CC Road in 1st main 11th cross surrounding area in ward 136</t>
  </si>
  <si>
    <t>136-17-000070</t>
  </si>
  <si>
    <t xml:space="preserve">Emergency work, pot hole filling and Road Maintanance works in ward No. 136 for the year 2016-17 </t>
  </si>
  <si>
    <t xml:space="preserve">somashekar G      </t>
  </si>
  <si>
    <t>136-18-000004</t>
  </si>
  <si>
    <t>Construction of ladies Gym building in JJR nagar park in wad no 136</t>
  </si>
  <si>
    <t>136-17-000111</t>
  </si>
  <si>
    <t>Drilling and commissioning of new borewell and laying pipeline in Vinayaka nagar surrounding area in ward no-136</t>
  </si>
  <si>
    <t>P1802</t>
  </si>
  <si>
    <t>Water Supply New Areas</t>
  </si>
  <si>
    <t>136-17-000087</t>
  </si>
  <si>
    <t>Drilling and commissioning of new borewell in Devarajurs nagar and surrounding area in ward No. 136</t>
  </si>
  <si>
    <t>P3075</t>
  </si>
  <si>
    <t>Special comprehensive development works in Bangalore city (Bangalore city in charge Minister Discretionary Grants)</t>
  </si>
  <si>
    <t>136-17-000085</t>
  </si>
  <si>
    <t>Drilling and commissioning of new borewell in Guddahalli Bus stop and surrounding area in ward No. 136</t>
  </si>
  <si>
    <t>136-18-000028</t>
  </si>
  <si>
    <t>Drilling and commissioning of new borwell and providing water supply line in Devarajurs nagara in ward no-136</t>
  </si>
  <si>
    <t xml:space="preserve">G Somashekar  </t>
  </si>
  <si>
    <t>October</t>
  </si>
  <si>
    <t>136-17-000064</t>
  </si>
  <si>
    <t>Repairs and Maintanance of CC Road and Drains in Oblesh colony Kodanda Rama School Surrounding Area in ward No. 136</t>
  </si>
  <si>
    <t>136-17-000063</t>
  </si>
  <si>
    <t>Maintanance and Repairs of Existing compound wall in burial ground opp to old guddadahalli bus stop in ward No. 136</t>
  </si>
  <si>
    <t>Public Amenities</t>
  </si>
  <si>
    <t>136-17-000065</t>
  </si>
  <si>
    <t>Maintanance of hindu burial ground, muslim burial ground in HBG Main Road in ward No. 136</t>
  </si>
  <si>
    <t>136-17-000058</t>
  </si>
  <si>
    <t>Maintanance of Burial ground in 2nd cross Mysore Road in JJR Nagar ward No. 136</t>
  </si>
  <si>
    <t>136-17-000059</t>
  </si>
  <si>
    <t>Repairs and Maintanance of culverts and Tertiary Drains in ward jurisdiction JJR Nagar in ward No. 136</t>
  </si>
  <si>
    <t xml:space="preserve">Somashekar G      </t>
  </si>
  <si>
    <t>136-17-000062</t>
  </si>
  <si>
    <t>Providing New Ornamental Name Boards and Improvements to Existing Name Boards in ward jurisidiction JJR Nagar in ward No. 136</t>
  </si>
  <si>
    <t>136-18-000011</t>
  </si>
  <si>
    <t>Drilling and commissioning of new borewells in Vinayakanagar and surrounding areas in JJR nagar ward no 136</t>
  </si>
  <si>
    <t>136-17-000112</t>
  </si>
  <si>
    <t>Providing new water supply pipeline in ward jurisdiction ward no-136</t>
  </si>
  <si>
    <t>136-18-000049</t>
  </si>
  <si>
    <t>Construction of new mustering room chang room and rest room buildings for pourakarmika s in JJR Nagar ward no 136</t>
  </si>
  <si>
    <t>December</t>
  </si>
  <si>
    <t>136-13-000025</t>
  </si>
  <si>
    <t>Construction of rangamandira Bangalore one Center and Corporators office Building at J J R Nagar in ward no 136</t>
  </si>
  <si>
    <t>A.PRASAD BABU (M/S SATHVIKA CONSORTIUM)</t>
  </si>
  <si>
    <t>P2924</t>
  </si>
  <si>
    <t>Development works in Selected wards : 1cr (46,68,75,90,91,92,94,95,97,103,112,136,148,164,191)  2cr (7,63,106,156,187) 3cr (43)</t>
  </si>
  <si>
    <t>ddo326</t>
  </si>
  <si>
    <t xml:space="preserve"> Executive Engineer SWM 1 Central Zone</t>
  </si>
  <si>
    <t>136-17-000002</t>
  </si>
  <si>
    <t>Providing street light fittings and control switches and control ABC wires with allied accessories in Vinayaka nagara Janatha colony and old Guddadahalli</t>
  </si>
  <si>
    <t>The Technical Manager KRIDL</t>
  </si>
  <si>
    <t>136-17-000001</t>
  </si>
  <si>
    <t>Providing street light fittings and control switches and control ABC wires with allied accessories in J.H R nagara Momenpura Padarayanapalya</t>
  </si>
  <si>
    <t>The Technical Manager  KRIDL</t>
  </si>
  <si>
    <t>136-17-000088</t>
  </si>
  <si>
    <t>Drilling and commissioning of new borewell in Janatha Colony and surrounding area in ward No. 136</t>
  </si>
  <si>
    <t>136-17-000066</t>
  </si>
  <si>
    <t>Repairs and Maintanance of CC Road in 10th Cross, 15th Cross, Devarajurs nagar Surrounding Area in ward No. 136</t>
  </si>
  <si>
    <t xml:space="preserve">  somashekar G      </t>
  </si>
  <si>
    <t>136-17-000061</t>
  </si>
  <si>
    <t>Desilting and maintanance of Secondry Drain in Ward jurisidction in ward No. 136</t>
  </si>
  <si>
    <t>136-17-000080</t>
  </si>
  <si>
    <t>Providing CC Camera at Garbage Block Spots in ward no 136</t>
  </si>
  <si>
    <t>Crime &amp; Safety</t>
  </si>
  <si>
    <t>January</t>
  </si>
  <si>
    <t>136-18-000050</t>
  </si>
  <si>
    <t>Providing street light and maintenance works at Padarayanapura and Mominpura in ward no 136</t>
  </si>
  <si>
    <t>Executive Engineer KRIDL</t>
  </si>
  <si>
    <t>P3290</t>
  </si>
  <si>
    <t>14th Finance Commission Works - Providing Street Lights and Maintenance</t>
  </si>
  <si>
    <t>February</t>
  </si>
  <si>
    <t>136-18-000005</t>
  </si>
  <si>
    <t>Providing Open Gym Equipments for Gents in JJR nagar park in JJR nagar ward no 136</t>
  </si>
  <si>
    <t>136-18-000037</t>
  </si>
  <si>
    <t>Providing street light LED Fittings with control swithes and applied accessories in Vinayaka Nagara and surrounding areas in JJR Nagar ward no 136</t>
  </si>
  <si>
    <t>136-19-000001</t>
  </si>
  <si>
    <t>Comprensive development of roads and drains at Devarajurs nagar south and North surroundign areas in JJR Nagar ward no 136</t>
  </si>
  <si>
    <t>136-19-000002</t>
  </si>
  <si>
    <t>Developmental works to roads and drains at Umar Faroque Nagar Padarayanapura and surroundign areas in JJR Nagar ward no 136</t>
  </si>
  <si>
    <t>136-17-000017</t>
  </si>
  <si>
    <t>Providing Street light fittings and Control Switches, waires, Panels with allied Accessories in ward no Jurisdiction in ward no 136</t>
  </si>
  <si>
    <t>136-18-000068</t>
  </si>
  <si>
    <t xml:space="preserve">Providing water supply lines, steel aqua guard tanks in jjr nagara and surrounding areas in jjr nagara ward no 136 </t>
  </si>
  <si>
    <t>P3322</t>
  </si>
  <si>
    <t>Special Development works at Ward No. 32, 50, 60, 63, 67, 69, 80, 113, 122, 136, 139, 145 Rs.4. Cr each</t>
  </si>
  <si>
    <t>March</t>
  </si>
  <si>
    <t>136-18-000105</t>
  </si>
  <si>
    <t xml:space="preserve">Providing illumination to indira Canteen at old guddadahalli ground surrounding in ward no 136 </t>
  </si>
  <si>
    <t>Indira Canteen</t>
  </si>
  <si>
    <t xml:space="preserve">Somashekar .G                                          </t>
  </si>
  <si>
    <t>136-18-000106</t>
  </si>
  <si>
    <t xml:space="preserve">Beautification work at Indira Canteen in ward no.136 </t>
  </si>
  <si>
    <t xml:space="preserve"> Somashekar .G                                          </t>
  </si>
  <si>
    <t>136-18-000091</t>
  </si>
  <si>
    <t>Restoration of roads and drains and other developmental works in 16th main road Devarajursnagar in ward no-136 jjr nagar</t>
  </si>
  <si>
    <t>136-18-000002</t>
  </si>
  <si>
    <t>Repairs and renovation works to exisiting BBMP Sathya Harichandra building Premises in JJR nagar in ward no 136</t>
  </si>
  <si>
    <t>136-18-000010</t>
  </si>
  <si>
    <t>Repairs and Renovation works to BBMP library and Multipurpose building at Devarajurs nagar in JJR nagar Ward no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</si>
</sst>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workbookViewId="0">
      <pane ySplit="1" topLeftCell="A2" activePane="bottomLeft" state="frozen"/>
      <selection activeCell="H1" sqref="H1"/>
      <selection pane="bottomLeft" activeCell="A2" sqref="A2:XFD10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421</v>
      </c>
      <c r="B2" s="9" t="s">
        <v>33</v>
      </c>
      <c r="C2" s="10">
        <v>43200</v>
      </c>
      <c r="D2" s="11">
        <v>136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"000268"</f>
        <v>000268</v>
      </c>
      <c r="M2" s="10">
        <v>43188</v>
      </c>
      <c r="N2" s="11" t="str">
        <f>"000096"</f>
        <v>000096</v>
      </c>
      <c r="O2" s="10">
        <v>43188</v>
      </c>
      <c r="P2" s="11" t="str">
        <f>"000260"</f>
        <v>000260</v>
      </c>
      <c r="Q2" s="10">
        <v>43188</v>
      </c>
      <c r="R2" s="11">
        <v>18</v>
      </c>
      <c r="S2" s="11" t="str">
        <f>"000445"</f>
        <v>000445</v>
      </c>
      <c r="T2" s="10">
        <v>43199</v>
      </c>
      <c r="U2" s="14">
        <v>26.24567</v>
      </c>
      <c r="V2" s="14">
        <v>2.28335</v>
      </c>
      <c r="W2" s="14">
        <v>23.962319999999998</v>
      </c>
      <c r="X2" s="11">
        <v>13</v>
      </c>
      <c r="Y2" s="10">
        <v>43200</v>
      </c>
      <c r="Z2" s="11">
        <v>8317395607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0.26245669999999999</v>
      </c>
      <c r="AG2" s="11" t="s">
        <v>46</v>
      </c>
    </row>
    <row r="3" spans="1:33" x14ac:dyDescent="0.2">
      <c r="A3" s="8">
        <v>422</v>
      </c>
      <c r="B3" s="9" t="s">
        <v>33</v>
      </c>
      <c r="C3" s="10">
        <v>43200</v>
      </c>
      <c r="D3" s="11">
        <v>136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"000267"</f>
        <v>000267</v>
      </c>
      <c r="M3" s="10">
        <v>43188</v>
      </c>
      <c r="N3" s="11" t="str">
        <f>"000095"</f>
        <v>000095</v>
      </c>
      <c r="O3" s="10">
        <v>43188</v>
      </c>
      <c r="P3" s="11" t="str">
        <f>"000259"</f>
        <v>000259</v>
      </c>
      <c r="Q3" s="10">
        <v>43188</v>
      </c>
      <c r="R3" s="11">
        <v>18</v>
      </c>
      <c r="S3" s="11" t="str">
        <f>"000446"</f>
        <v>000446</v>
      </c>
      <c r="T3" s="10">
        <v>43199</v>
      </c>
      <c r="U3" s="14">
        <v>26.24014</v>
      </c>
      <c r="V3" s="14">
        <v>2.28288</v>
      </c>
      <c r="W3" s="14">
        <v>23.957260000000002</v>
      </c>
      <c r="X3" s="11">
        <v>13</v>
      </c>
      <c r="Y3" s="10">
        <v>43200</v>
      </c>
      <c r="Z3" s="11">
        <v>8317395607</v>
      </c>
      <c r="AA3" s="12" t="s">
        <v>49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0.26240140000000001</v>
      </c>
      <c r="AG3" s="11" t="s">
        <v>46</v>
      </c>
    </row>
    <row r="4" spans="1:33" x14ac:dyDescent="0.2">
      <c r="A4" s="8">
        <v>423</v>
      </c>
      <c r="B4" s="9" t="s">
        <v>33</v>
      </c>
      <c r="C4" s="10">
        <v>43200</v>
      </c>
      <c r="D4" s="11">
        <v>136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50</v>
      </c>
      <c r="J4" s="12" t="s">
        <v>51</v>
      </c>
      <c r="K4" s="13" t="s">
        <v>52</v>
      </c>
      <c r="L4" s="11" t="str">
        <f>"000269"</f>
        <v>000269</v>
      </c>
      <c r="M4" s="10">
        <v>43189</v>
      </c>
      <c r="N4" s="11" t="str">
        <f>"000097"</f>
        <v>000097</v>
      </c>
      <c r="O4" s="10">
        <v>43189</v>
      </c>
      <c r="P4" s="11" t="str">
        <f>"000261"</f>
        <v>000261</v>
      </c>
      <c r="Q4" s="10">
        <v>43189</v>
      </c>
      <c r="R4" s="11">
        <v>18</v>
      </c>
      <c r="S4" s="11" t="str">
        <f>"000447"</f>
        <v>000447</v>
      </c>
      <c r="T4" s="10">
        <v>43199</v>
      </c>
      <c r="U4" s="14">
        <v>20.9953</v>
      </c>
      <c r="V4" s="14">
        <v>1.82657</v>
      </c>
      <c r="W4" s="14">
        <v>19.16873</v>
      </c>
      <c r="X4" s="11">
        <v>13</v>
      </c>
      <c r="Y4" s="10">
        <v>43200</v>
      </c>
      <c r="Z4" s="11">
        <v>9945533990</v>
      </c>
      <c r="AA4" s="12" t="s">
        <v>53</v>
      </c>
      <c r="AB4" s="11" t="s">
        <v>54</v>
      </c>
      <c r="AC4" s="12" t="s">
        <v>55</v>
      </c>
      <c r="AD4" s="11" t="s">
        <v>44</v>
      </c>
      <c r="AE4" s="12" t="s">
        <v>45</v>
      </c>
      <c r="AF4" s="14">
        <v>0.209953</v>
      </c>
      <c r="AG4" s="11" t="s">
        <v>46</v>
      </c>
    </row>
    <row r="5" spans="1:33" x14ac:dyDescent="0.2">
      <c r="A5" s="8">
        <v>424</v>
      </c>
      <c r="B5" s="9" t="s">
        <v>33</v>
      </c>
      <c r="C5" s="10">
        <v>43200</v>
      </c>
      <c r="D5" s="11">
        <v>136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56</v>
      </c>
      <c r="J5" s="12" t="s">
        <v>57</v>
      </c>
      <c r="K5" s="13" t="s">
        <v>52</v>
      </c>
      <c r="L5" s="11" t="str">
        <f>"000270"</f>
        <v>000270</v>
      </c>
      <c r="M5" s="10">
        <v>43189</v>
      </c>
      <c r="N5" s="11" t="str">
        <f>"000098"</f>
        <v>000098</v>
      </c>
      <c r="O5" s="10">
        <v>43189</v>
      </c>
      <c r="P5" s="11" t="str">
        <f>"000262"</f>
        <v>000262</v>
      </c>
      <c r="Q5" s="10">
        <v>43189</v>
      </c>
      <c r="R5" s="11">
        <v>18</v>
      </c>
      <c r="S5" s="11" t="str">
        <f>"000448"</f>
        <v>000448</v>
      </c>
      <c r="T5" s="10">
        <v>43199</v>
      </c>
      <c r="U5" s="14">
        <v>20.99728</v>
      </c>
      <c r="V5" s="14">
        <v>1.82674</v>
      </c>
      <c r="W5" s="14">
        <v>19.170539999999999</v>
      </c>
      <c r="X5" s="11">
        <v>13</v>
      </c>
      <c r="Y5" s="10">
        <v>43200</v>
      </c>
      <c r="Z5" s="11">
        <v>9945533990</v>
      </c>
      <c r="AA5" s="12" t="s">
        <v>53</v>
      </c>
      <c r="AB5" s="11" t="s">
        <v>54</v>
      </c>
      <c r="AC5" s="12" t="s">
        <v>55</v>
      </c>
      <c r="AD5" s="11" t="s">
        <v>44</v>
      </c>
      <c r="AE5" s="12" t="s">
        <v>45</v>
      </c>
      <c r="AF5" s="14">
        <v>0.20997279999999999</v>
      </c>
      <c r="AG5" s="11" t="s">
        <v>46</v>
      </c>
    </row>
    <row r="6" spans="1:33" x14ac:dyDescent="0.2">
      <c r="A6" s="8">
        <v>425</v>
      </c>
      <c r="B6" s="9" t="s">
        <v>33</v>
      </c>
      <c r="C6" s="10">
        <v>43200</v>
      </c>
      <c r="D6" s="11">
        <v>136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58</v>
      </c>
      <c r="J6" s="12" t="s">
        <v>59</v>
      </c>
      <c r="K6" s="13" t="s">
        <v>40</v>
      </c>
      <c r="L6" s="11" t="str">
        <f>"000271"</f>
        <v>000271</v>
      </c>
      <c r="M6" s="10">
        <v>43188</v>
      </c>
      <c r="N6" s="11" t="str">
        <f>"000099"</f>
        <v>000099</v>
      </c>
      <c r="O6" s="10">
        <v>43188</v>
      </c>
      <c r="P6" s="11" t="str">
        <f>"000263"</f>
        <v>000263</v>
      </c>
      <c r="Q6" s="10">
        <v>43188</v>
      </c>
      <c r="R6" s="11">
        <v>18</v>
      </c>
      <c r="S6" s="11" t="str">
        <f>"000449"</f>
        <v>000449</v>
      </c>
      <c r="T6" s="10">
        <v>43199</v>
      </c>
      <c r="U6" s="14">
        <v>20.997029999999999</v>
      </c>
      <c r="V6" s="14">
        <v>1.82673</v>
      </c>
      <c r="W6" s="14">
        <v>19.170300000000001</v>
      </c>
      <c r="X6" s="11">
        <v>13</v>
      </c>
      <c r="Y6" s="10">
        <v>43200</v>
      </c>
      <c r="Z6" s="11">
        <v>9945533990</v>
      </c>
      <c r="AA6" s="12" t="s">
        <v>53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0.2099703</v>
      </c>
      <c r="AG6" s="11" t="s">
        <v>46</v>
      </c>
    </row>
    <row r="7" spans="1:33" x14ac:dyDescent="0.2">
      <c r="A7" s="8">
        <v>426</v>
      </c>
      <c r="B7" s="9" t="s">
        <v>33</v>
      </c>
      <c r="C7" s="10">
        <v>43200</v>
      </c>
      <c r="D7" s="11">
        <v>136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60</v>
      </c>
      <c r="J7" s="12" t="s">
        <v>61</v>
      </c>
      <c r="K7" s="13" t="s">
        <v>62</v>
      </c>
      <c r="L7" s="11" t="str">
        <f>"000273"</f>
        <v>000273</v>
      </c>
      <c r="M7" s="10">
        <v>43188</v>
      </c>
      <c r="N7" s="11" t="str">
        <f>"000101"</f>
        <v>000101</v>
      </c>
      <c r="O7" s="10">
        <v>43188</v>
      </c>
      <c r="P7" s="11" t="str">
        <f>"000266"</f>
        <v>000266</v>
      </c>
      <c r="Q7" s="10">
        <v>43188</v>
      </c>
      <c r="R7" s="11">
        <v>18</v>
      </c>
      <c r="S7" s="11" t="str">
        <f>"000450"</f>
        <v>000450</v>
      </c>
      <c r="T7" s="10">
        <v>43199</v>
      </c>
      <c r="U7" s="14">
        <v>5.2476200000000004</v>
      </c>
      <c r="V7" s="14">
        <v>0.39878999999999998</v>
      </c>
      <c r="W7" s="14">
        <v>4.8488300000000004</v>
      </c>
      <c r="X7" s="11">
        <v>13</v>
      </c>
      <c r="Y7" s="10">
        <v>43200</v>
      </c>
      <c r="Z7" s="11">
        <v>9945533990</v>
      </c>
      <c r="AA7" s="12" t="s">
        <v>63</v>
      </c>
      <c r="AB7" s="11" t="s">
        <v>64</v>
      </c>
      <c r="AC7" s="12" t="s">
        <v>65</v>
      </c>
      <c r="AD7" s="11" t="s">
        <v>44</v>
      </c>
      <c r="AE7" s="12" t="s">
        <v>45</v>
      </c>
      <c r="AF7" s="14">
        <v>5.2476200000000001E-2</v>
      </c>
      <c r="AG7" s="11" t="s">
        <v>46</v>
      </c>
    </row>
    <row r="8" spans="1:33" x14ac:dyDescent="0.2">
      <c r="A8" s="8">
        <v>427</v>
      </c>
      <c r="B8" s="9" t="s">
        <v>33</v>
      </c>
      <c r="C8" s="10">
        <v>43200</v>
      </c>
      <c r="D8" s="11">
        <v>136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66</v>
      </c>
      <c r="J8" s="12" t="s">
        <v>67</v>
      </c>
      <c r="K8" s="13" t="s">
        <v>52</v>
      </c>
      <c r="L8" s="11" t="str">
        <f>"000276"</f>
        <v>000276</v>
      </c>
      <c r="M8" s="10">
        <v>43188</v>
      </c>
      <c r="N8" s="11" t="str">
        <f>"000103"</f>
        <v>000103</v>
      </c>
      <c r="O8" s="10">
        <v>43188</v>
      </c>
      <c r="P8" s="11" t="str">
        <f>"000267"</f>
        <v>000267</v>
      </c>
      <c r="Q8" s="10">
        <v>43188</v>
      </c>
      <c r="R8" s="11">
        <v>18</v>
      </c>
      <c r="S8" s="11" t="str">
        <f>"000451"</f>
        <v>000451</v>
      </c>
      <c r="T8" s="10">
        <v>43199</v>
      </c>
      <c r="U8" s="14">
        <v>20.987469999999998</v>
      </c>
      <c r="V8" s="14">
        <v>1.8258799999999999</v>
      </c>
      <c r="W8" s="14">
        <v>19.16159</v>
      </c>
      <c r="X8" s="11">
        <v>13</v>
      </c>
      <c r="Y8" s="10">
        <v>43200</v>
      </c>
      <c r="Z8" s="11">
        <v>9945533990</v>
      </c>
      <c r="AA8" s="12" t="s">
        <v>68</v>
      </c>
      <c r="AB8" s="11" t="s">
        <v>54</v>
      </c>
      <c r="AC8" s="12" t="s">
        <v>55</v>
      </c>
      <c r="AD8" s="11" t="s">
        <v>44</v>
      </c>
      <c r="AE8" s="12" t="s">
        <v>45</v>
      </c>
      <c r="AF8" s="14">
        <v>0.20987469999999997</v>
      </c>
      <c r="AG8" s="11" t="s">
        <v>46</v>
      </c>
    </row>
    <row r="9" spans="1:33" x14ac:dyDescent="0.2">
      <c r="A9" s="8">
        <v>428</v>
      </c>
      <c r="B9" s="9" t="s">
        <v>33</v>
      </c>
      <c r="C9" s="10">
        <v>43200</v>
      </c>
      <c r="D9" s="11">
        <v>136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69</v>
      </c>
      <c r="J9" s="12" t="s">
        <v>70</v>
      </c>
      <c r="K9" s="13" t="s">
        <v>52</v>
      </c>
      <c r="L9" s="11" t="str">
        <f>"000275"</f>
        <v>000275</v>
      </c>
      <c r="M9" s="10">
        <v>43189</v>
      </c>
      <c r="N9" s="11" t="str">
        <f>"000104"</f>
        <v>000104</v>
      </c>
      <c r="O9" s="10">
        <v>43189</v>
      </c>
      <c r="P9" s="11" t="str">
        <f>"000268"</f>
        <v>000268</v>
      </c>
      <c r="Q9" s="10">
        <v>43189</v>
      </c>
      <c r="R9" s="11">
        <v>18</v>
      </c>
      <c r="S9" s="11" t="str">
        <f>"000452"</f>
        <v>000452</v>
      </c>
      <c r="T9" s="10">
        <v>43199</v>
      </c>
      <c r="U9" s="14">
        <v>20.994050000000001</v>
      </c>
      <c r="V9" s="14">
        <v>1.82647</v>
      </c>
      <c r="W9" s="14">
        <v>19.167580000000001</v>
      </c>
      <c r="X9" s="11">
        <v>13</v>
      </c>
      <c r="Y9" s="10">
        <v>43200</v>
      </c>
      <c r="Z9" s="11">
        <v>9945533990</v>
      </c>
      <c r="AA9" s="12" t="s">
        <v>53</v>
      </c>
      <c r="AB9" s="11" t="s">
        <v>54</v>
      </c>
      <c r="AC9" s="12" t="s">
        <v>55</v>
      </c>
      <c r="AD9" s="11" t="s">
        <v>44</v>
      </c>
      <c r="AE9" s="12" t="s">
        <v>45</v>
      </c>
      <c r="AF9" s="14">
        <v>0.2099405</v>
      </c>
      <c r="AG9" s="11" t="s">
        <v>46</v>
      </c>
    </row>
    <row r="10" spans="1:33" x14ac:dyDescent="0.2">
      <c r="A10" s="8">
        <v>429</v>
      </c>
      <c r="B10" s="9" t="s">
        <v>33</v>
      </c>
      <c r="C10" s="10">
        <v>43200</v>
      </c>
      <c r="D10" s="11">
        <v>136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71</v>
      </c>
      <c r="J10" s="12" t="s">
        <v>72</v>
      </c>
      <c r="K10" s="13" t="s">
        <v>62</v>
      </c>
      <c r="L10" s="11" t="str">
        <f>"000281"</f>
        <v>000281</v>
      </c>
      <c r="M10" s="10">
        <v>43190</v>
      </c>
      <c r="N10" s="11" t="str">
        <f>"000110"</f>
        <v>000110</v>
      </c>
      <c r="O10" s="10">
        <v>43190</v>
      </c>
      <c r="P10" s="11" t="str">
        <f>"000273"</f>
        <v>000273</v>
      </c>
      <c r="Q10" s="10">
        <v>43190</v>
      </c>
      <c r="R10" s="11">
        <v>18</v>
      </c>
      <c r="S10" s="11" t="str">
        <f>"000453"</f>
        <v>000453</v>
      </c>
      <c r="T10" s="10">
        <v>43199</v>
      </c>
      <c r="U10" s="14">
        <v>5.2443299999999997</v>
      </c>
      <c r="V10" s="14">
        <v>0.39855000000000002</v>
      </c>
      <c r="W10" s="14">
        <v>4.8457800000000004</v>
      </c>
      <c r="X10" s="11">
        <v>13</v>
      </c>
      <c r="Y10" s="10">
        <v>43200</v>
      </c>
      <c r="Z10" s="11">
        <v>9945533990</v>
      </c>
      <c r="AA10" s="12" t="s">
        <v>73</v>
      </c>
      <c r="AB10" s="11" t="s">
        <v>74</v>
      </c>
      <c r="AC10" s="12" t="s">
        <v>75</v>
      </c>
      <c r="AD10" s="11" t="s">
        <v>44</v>
      </c>
      <c r="AE10" s="12" t="s">
        <v>45</v>
      </c>
      <c r="AF10" s="14">
        <v>5.2443299999999998E-2</v>
      </c>
      <c r="AG10" s="11" t="s">
        <v>46</v>
      </c>
    </row>
    <row r="11" spans="1:33" x14ac:dyDescent="0.2">
      <c r="A11" s="8">
        <v>675</v>
      </c>
      <c r="B11" s="9" t="s">
        <v>33</v>
      </c>
      <c r="C11" s="10">
        <v>43215</v>
      </c>
      <c r="D11" s="11">
        <v>136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76</v>
      </c>
      <c r="J11" s="12" t="s">
        <v>77</v>
      </c>
      <c r="K11" s="13" t="s">
        <v>78</v>
      </c>
      <c r="L11" s="11" t="str">
        <f>"000274"</f>
        <v>000274</v>
      </c>
      <c r="M11" s="10">
        <v>43188</v>
      </c>
      <c r="N11" s="11" t="str">
        <f>"000102"</f>
        <v>000102</v>
      </c>
      <c r="O11" s="10">
        <v>43188</v>
      </c>
      <c r="P11" s="11" t="str">
        <f>"000265"</f>
        <v>000265</v>
      </c>
      <c r="Q11" s="10">
        <v>43188</v>
      </c>
      <c r="R11" s="11">
        <v>18</v>
      </c>
      <c r="S11" s="11" t="str">
        <f>"000624"</f>
        <v>000624</v>
      </c>
      <c r="T11" s="10">
        <v>43214</v>
      </c>
      <c r="U11" s="14">
        <v>20.997949999999999</v>
      </c>
      <c r="V11" s="14">
        <v>1.8267800000000001</v>
      </c>
      <c r="W11" s="14">
        <v>19.17117</v>
      </c>
      <c r="X11" s="11">
        <v>24</v>
      </c>
      <c r="Y11" s="10">
        <v>43215</v>
      </c>
      <c r="Z11" s="11">
        <v>9945533990</v>
      </c>
      <c r="AA11" s="12" t="s">
        <v>79</v>
      </c>
      <c r="AB11" s="11" t="s">
        <v>54</v>
      </c>
      <c r="AC11" s="12" t="s">
        <v>55</v>
      </c>
      <c r="AD11" s="11" t="s">
        <v>44</v>
      </c>
      <c r="AE11" s="12" t="s">
        <v>45</v>
      </c>
      <c r="AF11" s="14">
        <v>0.20997949999999999</v>
      </c>
      <c r="AG11" s="11" t="s">
        <v>46</v>
      </c>
    </row>
    <row r="12" spans="1:33" x14ac:dyDescent="0.2">
      <c r="A12" s="8">
        <v>1348</v>
      </c>
      <c r="B12" s="9" t="s">
        <v>80</v>
      </c>
      <c r="C12" s="10">
        <v>43241</v>
      </c>
      <c r="D12" s="11">
        <v>136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81</v>
      </c>
      <c r="J12" s="12" t="s">
        <v>82</v>
      </c>
      <c r="K12" s="13" t="s">
        <v>83</v>
      </c>
      <c r="L12" s="11" t="str">
        <f>"000018"</f>
        <v>000018</v>
      </c>
      <c r="M12" s="10">
        <v>43217</v>
      </c>
      <c r="N12" s="11" t="str">
        <f>"000005"</f>
        <v>000005</v>
      </c>
      <c r="O12" s="10">
        <v>43217</v>
      </c>
      <c r="P12" s="11" t="str">
        <f>"000011"</f>
        <v>000011</v>
      </c>
      <c r="Q12" s="10">
        <v>43217</v>
      </c>
      <c r="R12" s="11">
        <v>17</v>
      </c>
      <c r="S12" s="11" t="str">
        <f>"001501"</f>
        <v>001501</v>
      </c>
      <c r="T12" s="10">
        <v>43237</v>
      </c>
      <c r="U12" s="14">
        <v>15.746</v>
      </c>
      <c r="V12" s="14">
        <v>1.2911600000000001</v>
      </c>
      <c r="W12" s="14">
        <v>14.454840000000001</v>
      </c>
      <c r="X12" s="11">
        <v>54</v>
      </c>
      <c r="Y12" s="10">
        <v>43241</v>
      </c>
      <c r="Z12" s="11">
        <v>9945533990</v>
      </c>
      <c r="AA12" s="12" t="s">
        <v>53</v>
      </c>
      <c r="AB12" s="11" t="s">
        <v>84</v>
      </c>
      <c r="AC12" s="12" t="s">
        <v>85</v>
      </c>
      <c r="AD12" s="11" t="s">
        <v>44</v>
      </c>
      <c r="AE12" s="12" t="s">
        <v>45</v>
      </c>
      <c r="AF12" s="14">
        <v>0.15746000000000002</v>
      </c>
      <c r="AG12" s="11" t="s">
        <v>86</v>
      </c>
    </row>
    <row r="13" spans="1:33" x14ac:dyDescent="0.2">
      <c r="A13" s="8">
        <v>1349</v>
      </c>
      <c r="B13" s="9" t="s">
        <v>80</v>
      </c>
      <c r="C13" s="10">
        <v>43241</v>
      </c>
      <c r="D13" s="11">
        <v>136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87</v>
      </c>
      <c r="J13" s="12" t="s">
        <v>88</v>
      </c>
      <c r="K13" s="13" t="s">
        <v>40</v>
      </c>
      <c r="L13" s="11" t="str">
        <f>"000092"</f>
        <v>000092</v>
      </c>
      <c r="M13" s="10">
        <v>43218</v>
      </c>
      <c r="N13" s="11" t="str">
        <f>"000031"</f>
        <v>000031</v>
      </c>
      <c r="O13" s="10">
        <v>43218</v>
      </c>
      <c r="P13" s="11" t="str">
        <f>"000090"</f>
        <v>000090</v>
      </c>
      <c r="Q13" s="10">
        <v>43218</v>
      </c>
      <c r="R13" s="11">
        <v>17</v>
      </c>
      <c r="S13" s="11" t="str">
        <f>"001502"</f>
        <v>001502</v>
      </c>
      <c r="T13" s="10">
        <v>43237</v>
      </c>
      <c r="U13" s="14">
        <v>12.544079999999999</v>
      </c>
      <c r="V13" s="14">
        <v>0.89061999999999997</v>
      </c>
      <c r="W13" s="14">
        <v>11.653460000000001</v>
      </c>
      <c r="X13" s="11">
        <v>54</v>
      </c>
      <c r="Y13" s="10">
        <v>43241</v>
      </c>
      <c r="Z13" s="11">
        <v>9945533990</v>
      </c>
      <c r="AA13" s="12" t="s">
        <v>89</v>
      </c>
      <c r="AB13" s="11" t="s">
        <v>84</v>
      </c>
      <c r="AC13" s="12" t="s">
        <v>85</v>
      </c>
      <c r="AD13" s="11" t="s">
        <v>44</v>
      </c>
      <c r="AE13" s="12" t="s">
        <v>45</v>
      </c>
      <c r="AF13" s="14">
        <v>0.12544079999999999</v>
      </c>
      <c r="AG13" s="11" t="s">
        <v>86</v>
      </c>
    </row>
    <row r="14" spans="1:33" x14ac:dyDescent="0.2">
      <c r="A14" s="8">
        <v>1350</v>
      </c>
      <c r="B14" s="9" t="s">
        <v>80</v>
      </c>
      <c r="C14" s="10">
        <v>43241</v>
      </c>
      <c r="D14" s="11">
        <v>136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90</v>
      </c>
      <c r="J14" s="12" t="s">
        <v>91</v>
      </c>
      <c r="K14" s="13" t="s">
        <v>62</v>
      </c>
      <c r="L14" s="11" t="str">
        <f>"000091"</f>
        <v>000091</v>
      </c>
      <c r="M14" s="10">
        <v>43218</v>
      </c>
      <c r="N14" s="11" t="str">
        <f>"000030"</f>
        <v>000030</v>
      </c>
      <c r="O14" s="10">
        <v>43218</v>
      </c>
      <c r="P14" s="11" t="str">
        <f>"000092"</f>
        <v>000092</v>
      </c>
      <c r="Q14" s="10">
        <v>43218</v>
      </c>
      <c r="R14" s="11">
        <v>17</v>
      </c>
      <c r="S14" s="11" t="str">
        <f>"001503"</f>
        <v>001503</v>
      </c>
      <c r="T14" s="10">
        <v>43237</v>
      </c>
      <c r="U14" s="14">
        <v>18.866160000000001</v>
      </c>
      <c r="V14" s="14">
        <v>1.33948</v>
      </c>
      <c r="W14" s="14">
        <v>17.526679999999999</v>
      </c>
      <c r="X14" s="11">
        <v>54</v>
      </c>
      <c r="Y14" s="10">
        <v>43241</v>
      </c>
      <c r="Z14" s="11">
        <v>9945533990</v>
      </c>
      <c r="AA14" s="12" t="s">
        <v>53</v>
      </c>
      <c r="AB14" s="11" t="s">
        <v>84</v>
      </c>
      <c r="AC14" s="12" t="s">
        <v>85</v>
      </c>
      <c r="AD14" s="11" t="s">
        <v>44</v>
      </c>
      <c r="AE14" s="12" t="s">
        <v>45</v>
      </c>
      <c r="AF14" s="14">
        <v>0.18866160000000001</v>
      </c>
      <c r="AG14" s="11" t="s">
        <v>86</v>
      </c>
    </row>
    <row r="15" spans="1:33" x14ac:dyDescent="0.2">
      <c r="A15" s="8">
        <v>1351</v>
      </c>
      <c r="B15" s="9" t="s">
        <v>80</v>
      </c>
      <c r="C15" s="10">
        <v>43241</v>
      </c>
      <c r="D15" s="11">
        <v>136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92</v>
      </c>
      <c r="J15" s="12" t="s">
        <v>93</v>
      </c>
      <c r="K15" s="13" t="s">
        <v>40</v>
      </c>
      <c r="L15" s="11" t="str">
        <f>"000029"</f>
        <v>000029</v>
      </c>
      <c r="M15" s="10">
        <v>43217</v>
      </c>
      <c r="N15" s="11" t="str">
        <f>"000008"</f>
        <v>000008</v>
      </c>
      <c r="O15" s="10">
        <v>43217</v>
      </c>
      <c r="P15" s="11" t="str">
        <f>"000008"</f>
        <v>000008</v>
      </c>
      <c r="Q15" s="10">
        <v>43217</v>
      </c>
      <c r="R15" s="11">
        <v>17</v>
      </c>
      <c r="S15" s="11" t="str">
        <f>"001657"</f>
        <v>001657</v>
      </c>
      <c r="T15" s="10">
        <v>43239</v>
      </c>
      <c r="U15" s="14">
        <v>12.593489999999999</v>
      </c>
      <c r="V15" s="14">
        <v>0.89412000000000003</v>
      </c>
      <c r="W15" s="14">
        <v>11.69937</v>
      </c>
      <c r="X15" s="11">
        <v>56</v>
      </c>
      <c r="Y15" s="10">
        <v>43241</v>
      </c>
      <c r="Z15" s="11">
        <v>9945533990</v>
      </c>
      <c r="AA15" s="12" t="s">
        <v>53</v>
      </c>
      <c r="AB15" s="11" t="s">
        <v>94</v>
      </c>
      <c r="AC15" s="12" t="s">
        <v>95</v>
      </c>
      <c r="AD15" s="11" t="s">
        <v>44</v>
      </c>
      <c r="AE15" s="12" t="s">
        <v>45</v>
      </c>
      <c r="AF15" s="14">
        <v>0.12593489999999999</v>
      </c>
      <c r="AG15" s="11" t="s">
        <v>86</v>
      </c>
    </row>
    <row r="16" spans="1:33" x14ac:dyDescent="0.2">
      <c r="A16" s="8">
        <v>1352</v>
      </c>
      <c r="B16" s="9" t="s">
        <v>80</v>
      </c>
      <c r="C16" s="10">
        <v>43241</v>
      </c>
      <c r="D16" s="11">
        <v>136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96</v>
      </c>
      <c r="J16" s="12" t="s">
        <v>97</v>
      </c>
      <c r="K16" s="13" t="s">
        <v>40</v>
      </c>
      <c r="L16" s="11" t="str">
        <f>"000023"</f>
        <v>000023</v>
      </c>
      <c r="M16" s="10">
        <v>43217</v>
      </c>
      <c r="N16" s="11" t="str">
        <f>"000007"</f>
        <v>000007</v>
      </c>
      <c r="O16" s="10">
        <v>43217</v>
      </c>
      <c r="P16" s="11" t="str">
        <f>"000009"</f>
        <v>000009</v>
      </c>
      <c r="Q16" s="10">
        <v>43217</v>
      </c>
      <c r="R16" s="11">
        <v>18</v>
      </c>
      <c r="S16" s="11" t="str">
        <f>"001661"</f>
        <v>001661</v>
      </c>
      <c r="T16" s="10">
        <v>43239</v>
      </c>
      <c r="U16" s="14">
        <v>20.992149999999999</v>
      </c>
      <c r="V16" s="14">
        <v>1.8263</v>
      </c>
      <c r="W16" s="14">
        <v>19.165849999999999</v>
      </c>
      <c r="X16" s="11">
        <v>56</v>
      </c>
      <c r="Y16" s="10">
        <v>43241</v>
      </c>
      <c r="Z16" s="11">
        <v>9945533990</v>
      </c>
      <c r="AA16" s="12" t="s">
        <v>53</v>
      </c>
      <c r="AB16" s="11" t="s">
        <v>64</v>
      </c>
      <c r="AC16" s="12" t="s">
        <v>65</v>
      </c>
      <c r="AD16" s="11" t="s">
        <v>44</v>
      </c>
      <c r="AE16" s="12" t="s">
        <v>45</v>
      </c>
      <c r="AF16" s="14">
        <v>0.20992149999999998</v>
      </c>
      <c r="AG16" s="11" t="s">
        <v>86</v>
      </c>
    </row>
    <row r="17" spans="1:33" x14ac:dyDescent="0.2">
      <c r="A17" s="8">
        <v>1353</v>
      </c>
      <c r="B17" s="9" t="s">
        <v>80</v>
      </c>
      <c r="C17" s="10">
        <v>43241</v>
      </c>
      <c r="D17" s="11">
        <v>136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98</v>
      </c>
      <c r="J17" s="12" t="s">
        <v>99</v>
      </c>
      <c r="K17" s="13" t="s">
        <v>40</v>
      </c>
      <c r="L17" s="11" t="str">
        <f>"000008"</f>
        <v>000008</v>
      </c>
      <c r="M17" s="10">
        <v>43217</v>
      </c>
      <c r="N17" s="11" t="str">
        <f>"000021"</f>
        <v>000021</v>
      </c>
      <c r="O17" s="10">
        <v>43218</v>
      </c>
      <c r="P17" s="11" t="str">
        <f>"000084"</f>
        <v>000084</v>
      </c>
      <c r="Q17" s="10">
        <v>43218</v>
      </c>
      <c r="R17" s="11">
        <v>18</v>
      </c>
      <c r="S17" s="11" t="str">
        <f>"001669"</f>
        <v>001669</v>
      </c>
      <c r="T17" s="10">
        <v>43239</v>
      </c>
      <c r="U17" s="14">
        <v>20.77563</v>
      </c>
      <c r="V17" s="14">
        <v>1.80745</v>
      </c>
      <c r="W17" s="14">
        <v>18.96818</v>
      </c>
      <c r="X17" s="11">
        <v>56</v>
      </c>
      <c r="Y17" s="10">
        <v>43241</v>
      </c>
      <c r="Z17" s="11">
        <v>9945533990</v>
      </c>
      <c r="AA17" s="12" t="s">
        <v>53</v>
      </c>
      <c r="AB17" s="11" t="s">
        <v>64</v>
      </c>
      <c r="AC17" s="12" t="s">
        <v>65</v>
      </c>
      <c r="AD17" s="11" t="s">
        <v>44</v>
      </c>
      <c r="AE17" s="12" t="s">
        <v>45</v>
      </c>
      <c r="AF17" s="14">
        <v>0.2077563</v>
      </c>
      <c r="AG17" s="11" t="s">
        <v>86</v>
      </c>
    </row>
    <row r="18" spans="1:33" x14ac:dyDescent="0.2">
      <c r="A18" s="8">
        <v>1354</v>
      </c>
      <c r="B18" s="9" t="s">
        <v>80</v>
      </c>
      <c r="C18" s="10">
        <v>43241</v>
      </c>
      <c r="D18" s="11">
        <v>136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100</v>
      </c>
      <c r="J18" s="12" t="s">
        <v>101</v>
      </c>
      <c r="K18" s="13" t="s">
        <v>40</v>
      </c>
      <c r="L18" s="11" t="str">
        <f>"000011"</f>
        <v>000011</v>
      </c>
      <c r="M18" s="10">
        <v>43217</v>
      </c>
      <c r="N18" s="11" t="str">
        <f>"000022"</f>
        <v>000022</v>
      </c>
      <c r="O18" s="10">
        <v>43217</v>
      </c>
      <c r="P18" s="11" t="str">
        <f>"000085"</f>
        <v>000085</v>
      </c>
      <c r="Q18" s="10">
        <v>43218</v>
      </c>
      <c r="R18" s="11">
        <v>18</v>
      </c>
      <c r="S18" s="11" t="str">
        <f>"001670"</f>
        <v>001670</v>
      </c>
      <c r="T18" s="10">
        <v>43239</v>
      </c>
      <c r="U18" s="14">
        <v>15.74441</v>
      </c>
      <c r="V18" s="14">
        <v>1.3540000000000001</v>
      </c>
      <c r="W18" s="14">
        <v>14.390409999999999</v>
      </c>
      <c r="X18" s="11">
        <v>56</v>
      </c>
      <c r="Y18" s="10">
        <v>43241</v>
      </c>
      <c r="Z18" s="11">
        <v>9945533990</v>
      </c>
      <c r="AA18" s="12" t="s">
        <v>102</v>
      </c>
      <c r="AB18" s="11" t="s">
        <v>103</v>
      </c>
      <c r="AC18" s="12" t="s">
        <v>104</v>
      </c>
      <c r="AD18" s="11" t="s">
        <v>44</v>
      </c>
      <c r="AE18" s="12" t="s">
        <v>45</v>
      </c>
      <c r="AF18" s="14">
        <v>0.1574441</v>
      </c>
      <c r="AG18" s="11" t="s">
        <v>86</v>
      </c>
    </row>
    <row r="19" spans="1:33" x14ac:dyDescent="0.2">
      <c r="A19" s="8">
        <v>1355</v>
      </c>
      <c r="B19" s="9" t="s">
        <v>80</v>
      </c>
      <c r="C19" s="10">
        <v>43241</v>
      </c>
      <c r="D19" s="11">
        <v>136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105</v>
      </c>
      <c r="J19" s="12" t="s">
        <v>106</v>
      </c>
      <c r="K19" s="13" t="s">
        <v>107</v>
      </c>
      <c r="L19" s="11" t="str">
        <f>"000009"</f>
        <v>000009</v>
      </c>
      <c r="M19" s="10">
        <v>43217</v>
      </c>
      <c r="N19" s="11" t="str">
        <f>"000024"</f>
        <v>000024</v>
      </c>
      <c r="O19" s="10">
        <v>43217</v>
      </c>
      <c r="P19" s="11" t="str">
        <f>"000087"</f>
        <v>000087</v>
      </c>
      <c r="Q19" s="10">
        <v>43218</v>
      </c>
      <c r="R19" s="11">
        <v>18</v>
      </c>
      <c r="S19" s="11" t="str">
        <f>"001671"</f>
        <v>001671</v>
      </c>
      <c r="T19" s="10">
        <v>43239</v>
      </c>
      <c r="U19" s="14">
        <v>10.482089999999999</v>
      </c>
      <c r="V19" s="14">
        <v>0.80710999999999999</v>
      </c>
      <c r="W19" s="14">
        <v>9.6749799999999997</v>
      </c>
      <c r="X19" s="11">
        <v>56</v>
      </c>
      <c r="Y19" s="10">
        <v>43241</v>
      </c>
      <c r="Z19" s="11">
        <v>9945533990</v>
      </c>
      <c r="AA19" s="12" t="s">
        <v>53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v>0.10482089999999999</v>
      </c>
      <c r="AG19" s="11" t="s">
        <v>86</v>
      </c>
    </row>
    <row r="20" spans="1:33" x14ac:dyDescent="0.2">
      <c r="A20" s="8">
        <v>1356</v>
      </c>
      <c r="B20" s="9" t="s">
        <v>80</v>
      </c>
      <c r="C20" s="10">
        <v>43241</v>
      </c>
      <c r="D20" s="11">
        <v>136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108</v>
      </c>
      <c r="J20" s="12" t="s">
        <v>109</v>
      </c>
      <c r="K20" s="13" t="s">
        <v>52</v>
      </c>
      <c r="L20" s="11" t="str">
        <f>"000026"</f>
        <v>000026</v>
      </c>
      <c r="M20" s="10">
        <v>43217</v>
      </c>
      <c r="N20" s="11" t="str">
        <f>"000029"</f>
        <v>000029</v>
      </c>
      <c r="O20" s="10">
        <v>43218</v>
      </c>
      <c r="P20" s="11" t="str">
        <f>"000089"</f>
        <v>000089</v>
      </c>
      <c r="Q20" s="10">
        <v>43218</v>
      </c>
      <c r="R20" s="11">
        <v>18</v>
      </c>
      <c r="S20" s="11" t="str">
        <f>"001673"</f>
        <v>001673</v>
      </c>
      <c r="T20" s="10">
        <v>43239</v>
      </c>
      <c r="U20" s="14">
        <v>26.22935</v>
      </c>
      <c r="V20" s="14">
        <v>2.28193</v>
      </c>
      <c r="W20" s="14">
        <v>23.947420000000001</v>
      </c>
      <c r="X20" s="11">
        <v>56</v>
      </c>
      <c r="Y20" s="10">
        <v>43241</v>
      </c>
      <c r="Z20" s="11">
        <v>9945533990</v>
      </c>
      <c r="AA20" s="12" t="s">
        <v>53</v>
      </c>
      <c r="AB20" s="11" t="s">
        <v>110</v>
      </c>
      <c r="AC20" s="12" t="s">
        <v>111</v>
      </c>
      <c r="AD20" s="11" t="s">
        <v>44</v>
      </c>
      <c r="AE20" s="12" t="s">
        <v>45</v>
      </c>
      <c r="AF20" s="14">
        <v>0.26229350000000001</v>
      </c>
      <c r="AG20" s="11" t="s">
        <v>86</v>
      </c>
    </row>
    <row r="21" spans="1:33" x14ac:dyDescent="0.2">
      <c r="A21" s="8">
        <v>1357</v>
      </c>
      <c r="B21" s="9" t="s">
        <v>80</v>
      </c>
      <c r="C21" s="10">
        <v>43241</v>
      </c>
      <c r="D21" s="11">
        <v>136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112</v>
      </c>
      <c r="J21" s="12" t="s">
        <v>113</v>
      </c>
      <c r="K21" s="13" t="s">
        <v>40</v>
      </c>
      <c r="L21" s="11" t="str">
        <f>"000090"</f>
        <v>000090</v>
      </c>
      <c r="M21" s="10">
        <v>43218</v>
      </c>
      <c r="N21" s="11" t="str">
        <f>"000032"</f>
        <v>000032</v>
      </c>
      <c r="O21" s="10">
        <v>43218</v>
      </c>
      <c r="P21" s="11" t="str">
        <f>"000091"</f>
        <v>000091</v>
      </c>
      <c r="Q21" s="10">
        <v>43218</v>
      </c>
      <c r="R21" s="11">
        <v>18</v>
      </c>
      <c r="S21" s="11" t="str">
        <f>"001674"</f>
        <v>001674</v>
      </c>
      <c r="T21" s="10">
        <v>43239</v>
      </c>
      <c r="U21" s="14">
        <v>5.2353399999999999</v>
      </c>
      <c r="V21" s="14">
        <v>0.37169000000000002</v>
      </c>
      <c r="W21" s="14">
        <v>4.8636499999999998</v>
      </c>
      <c r="X21" s="11">
        <v>56</v>
      </c>
      <c r="Y21" s="10">
        <v>43241</v>
      </c>
      <c r="Z21" s="11">
        <v>9945533990</v>
      </c>
      <c r="AA21" s="12" t="s">
        <v>53</v>
      </c>
      <c r="AB21" s="11" t="s">
        <v>114</v>
      </c>
      <c r="AC21" s="12" t="s">
        <v>115</v>
      </c>
      <c r="AD21" s="11" t="s">
        <v>44</v>
      </c>
      <c r="AE21" s="12" t="s">
        <v>45</v>
      </c>
      <c r="AF21" s="14">
        <v>5.2353400000000001E-2</v>
      </c>
      <c r="AG21" s="11" t="s">
        <v>86</v>
      </c>
    </row>
    <row r="22" spans="1:33" x14ac:dyDescent="0.2">
      <c r="A22" s="8">
        <v>1669</v>
      </c>
      <c r="B22" s="9" t="s">
        <v>116</v>
      </c>
      <c r="C22" s="10">
        <v>43252</v>
      </c>
      <c r="D22" s="11">
        <v>136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117</v>
      </c>
      <c r="J22" s="12" t="s">
        <v>118</v>
      </c>
      <c r="K22" s="13" t="s">
        <v>52</v>
      </c>
      <c r="L22" s="11" t="str">
        <f>"000274"</f>
        <v>000274</v>
      </c>
      <c r="M22" s="10">
        <v>42802</v>
      </c>
      <c r="N22" s="11" t="str">
        <f>"000198"</f>
        <v>000198</v>
      </c>
      <c r="O22" s="10">
        <v>42886</v>
      </c>
      <c r="P22" s="11" t="str">
        <f>"000164"</f>
        <v>000164</v>
      </c>
      <c r="Q22" s="10">
        <v>42886</v>
      </c>
      <c r="R22" s="11">
        <v>17</v>
      </c>
      <c r="S22" s="11" t="str">
        <f>"001930"</f>
        <v>001930</v>
      </c>
      <c r="T22" s="10">
        <v>43246</v>
      </c>
      <c r="U22" s="14">
        <v>20.98348</v>
      </c>
      <c r="V22" s="14">
        <v>1.40587</v>
      </c>
      <c r="W22" s="14">
        <v>19.57761</v>
      </c>
      <c r="X22" s="11">
        <v>64</v>
      </c>
      <c r="Y22" s="10">
        <v>43252</v>
      </c>
      <c r="Z22" s="11">
        <v>9945533990</v>
      </c>
      <c r="AA22" s="12" t="s">
        <v>53</v>
      </c>
      <c r="AB22" s="11" t="s">
        <v>119</v>
      </c>
      <c r="AC22" s="12" t="s">
        <v>120</v>
      </c>
      <c r="AD22" s="11" t="s">
        <v>44</v>
      </c>
      <c r="AE22" s="12" t="s">
        <v>45</v>
      </c>
      <c r="AF22" s="14">
        <v>0.20983479999999999</v>
      </c>
      <c r="AG22" s="11" t="s">
        <v>46</v>
      </c>
    </row>
    <row r="23" spans="1:33" x14ac:dyDescent="0.2">
      <c r="A23" s="8">
        <v>1670</v>
      </c>
      <c r="B23" s="9" t="s">
        <v>116</v>
      </c>
      <c r="C23" s="10">
        <v>43252</v>
      </c>
      <c r="D23" s="11">
        <v>136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121</v>
      </c>
      <c r="J23" s="12" t="s">
        <v>122</v>
      </c>
      <c r="K23" s="13" t="s">
        <v>52</v>
      </c>
      <c r="L23" s="11" t="str">
        <f>"000168"</f>
        <v>000168</v>
      </c>
      <c r="M23" s="10">
        <v>42802</v>
      </c>
      <c r="N23" s="11" t="str">
        <f>"000399"</f>
        <v>000399</v>
      </c>
      <c r="O23" s="10">
        <v>42886</v>
      </c>
      <c r="P23" s="11" t="str">
        <f>"000165"</f>
        <v>000165</v>
      </c>
      <c r="Q23" s="10">
        <v>42886</v>
      </c>
      <c r="R23" s="11">
        <v>17</v>
      </c>
      <c r="S23" s="11" t="str">
        <f>"001932"</f>
        <v>001932</v>
      </c>
      <c r="T23" s="10">
        <v>43246</v>
      </c>
      <c r="U23" s="14">
        <v>5.2329999999999997</v>
      </c>
      <c r="V23" s="14">
        <v>0.35060000000000002</v>
      </c>
      <c r="W23" s="14">
        <v>4.8823999999999996</v>
      </c>
      <c r="X23" s="11">
        <v>64</v>
      </c>
      <c r="Y23" s="10">
        <v>43252</v>
      </c>
      <c r="Z23" s="11">
        <v>9945533990</v>
      </c>
      <c r="AA23" s="12" t="s">
        <v>53</v>
      </c>
      <c r="AB23" s="11" t="s">
        <v>119</v>
      </c>
      <c r="AC23" s="12" t="s">
        <v>120</v>
      </c>
      <c r="AD23" s="11" t="s">
        <v>44</v>
      </c>
      <c r="AE23" s="12" t="s">
        <v>45</v>
      </c>
      <c r="AF23" s="14">
        <v>5.2329999999999995E-2</v>
      </c>
      <c r="AG23" s="11" t="s">
        <v>46</v>
      </c>
    </row>
    <row r="24" spans="1:33" x14ac:dyDescent="0.2">
      <c r="A24" s="8">
        <v>1725</v>
      </c>
      <c r="B24" s="9" t="s">
        <v>116</v>
      </c>
      <c r="C24" s="10">
        <v>43253</v>
      </c>
      <c r="D24" s="11">
        <v>136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123</v>
      </c>
      <c r="J24" s="12" t="s">
        <v>124</v>
      </c>
      <c r="K24" s="13" t="s">
        <v>83</v>
      </c>
      <c r="L24" s="11" t="str">
        <f>"000006"</f>
        <v>000006</v>
      </c>
      <c r="M24" s="10">
        <v>43217</v>
      </c>
      <c r="N24" s="11" t="str">
        <f>"000027"</f>
        <v>000027</v>
      </c>
      <c r="O24" s="10">
        <v>43217</v>
      </c>
      <c r="P24" s="11" t="str">
        <f>"000082"</f>
        <v>000082</v>
      </c>
      <c r="Q24" s="10">
        <v>43218</v>
      </c>
      <c r="R24" s="11">
        <v>18</v>
      </c>
      <c r="S24" s="11" t="str">
        <f>"001804"</f>
        <v>001804</v>
      </c>
      <c r="T24" s="10">
        <v>43244</v>
      </c>
      <c r="U24" s="14">
        <v>26.24521</v>
      </c>
      <c r="V24" s="14">
        <v>2.2833199999999998</v>
      </c>
      <c r="W24" s="14">
        <v>23.96189</v>
      </c>
      <c r="X24" s="11">
        <v>68</v>
      </c>
      <c r="Y24" s="10">
        <v>43253</v>
      </c>
      <c r="Z24" s="11">
        <v>9945533990</v>
      </c>
      <c r="AA24" s="12" t="s">
        <v>53</v>
      </c>
      <c r="AB24" s="11" t="s">
        <v>125</v>
      </c>
      <c r="AC24" s="12" t="s">
        <v>126</v>
      </c>
      <c r="AD24" s="11" t="s">
        <v>44</v>
      </c>
      <c r="AE24" s="12" t="s">
        <v>45</v>
      </c>
      <c r="AF24" s="14">
        <v>0.26245210000000002</v>
      </c>
      <c r="AG24" s="11" t="s">
        <v>86</v>
      </c>
    </row>
    <row r="25" spans="1:33" x14ac:dyDescent="0.2">
      <c r="A25" s="8">
        <v>2045</v>
      </c>
      <c r="B25" s="9" t="s">
        <v>116</v>
      </c>
      <c r="C25" s="10">
        <v>43262</v>
      </c>
      <c r="D25" s="11">
        <v>136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127</v>
      </c>
      <c r="J25" s="12" t="s">
        <v>128</v>
      </c>
      <c r="K25" s="13" t="s">
        <v>40</v>
      </c>
      <c r="L25" s="11" t="str">
        <f>"000168"</f>
        <v>000168</v>
      </c>
      <c r="M25" s="10">
        <v>42802</v>
      </c>
      <c r="N25" s="11" t="str">
        <f>"000047"</f>
        <v>000047</v>
      </c>
      <c r="O25" s="10">
        <v>42852</v>
      </c>
      <c r="P25" s="11" t="str">
        <f>"000068"</f>
        <v>000068</v>
      </c>
      <c r="Q25" s="10">
        <v>42853</v>
      </c>
      <c r="R25" s="11">
        <v>17</v>
      </c>
      <c r="S25" s="11" t="str">
        <f>"002200"</f>
        <v>002200</v>
      </c>
      <c r="T25" s="10">
        <v>43257</v>
      </c>
      <c r="U25" s="14">
        <v>15.521369999999999</v>
      </c>
      <c r="V25" s="14">
        <v>1.98794</v>
      </c>
      <c r="W25" s="14">
        <v>13.533429999999999</v>
      </c>
      <c r="X25" s="11">
        <v>79</v>
      </c>
      <c r="Y25" s="10">
        <v>43262</v>
      </c>
      <c r="Z25" s="11">
        <v>9448670844</v>
      </c>
      <c r="AA25" s="12" t="s">
        <v>41</v>
      </c>
      <c r="AB25" s="11" t="s">
        <v>119</v>
      </c>
      <c r="AC25" s="12" t="s">
        <v>120</v>
      </c>
      <c r="AD25" s="11" t="s">
        <v>44</v>
      </c>
      <c r="AE25" s="12" t="s">
        <v>45</v>
      </c>
      <c r="AF25" s="14">
        <v>0.15521369999999998</v>
      </c>
      <c r="AG25" s="11" t="s">
        <v>46</v>
      </c>
    </row>
    <row r="26" spans="1:33" x14ac:dyDescent="0.2">
      <c r="A26" s="8">
        <v>2148</v>
      </c>
      <c r="B26" s="9" t="s">
        <v>116</v>
      </c>
      <c r="C26" s="10">
        <v>43265</v>
      </c>
      <c r="D26" s="11">
        <v>136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129</v>
      </c>
      <c r="J26" s="12" t="s">
        <v>130</v>
      </c>
      <c r="K26" s="13" t="s">
        <v>52</v>
      </c>
      <c r="L26" s="11" t="str">
        <f>"000104"</f>
        <v>000104</v>
      </c>
      <c r="M26" s="10">
        <v>43249</v>
      </c>
      <c r="N26" s="11" t="str">
        <f>"000044"</f>
        <v>000044</v>
      </c>
      <c r="O26" s="10">
        <v>43250</v>
      </c>
      <c r="P26" s="11" t="str">
        <f>"000112"</f>
        <v>000112</v>
      </c>
      <c r="Q26" s="10">
        <v>43250</v>
      </c>
      <c r="R26" s="11">
        <v>18</v>
      </c>
      <c r="S26" s="11" t="str">
        <f>"002444"</f>
        <v>002444</v>
      </c>
      <c r="T26" s="10">
        <v>43263</v>
      </c>
      <c r="U26" s="14">
        <v>26.24691</v>
      </c>
      <c r="V26" s="14">
        <v>2.3096899999999998</v>
      </c>
      <c r="W26" s="14">
        <v>23.93722</v>
      </c>
      <c r="X26" s="11">
        <v>84</v>
      </c>
      <c r="Y26" s="10">
        <v>43265</v>
      </c>
      <c r="Z26" s="11">
        <v>9945533990</v>
      </c>
      <c r="AA26" s="12" t="s">
        <v>53</v>
      </c>
      <c r="AB26" s="11" t="s">
        <v>110</v>
      </c>
      <c r="AC26" s="12" t="s">
        <v>111</v>
      </c>
      <c r="AD26" s="11" t="s">
        <v>44</v>
      </c>
      <c r="AE26" s="12" t="s">
        <v>45</v>
      </c>
      <c r="AF26" s="14">
        <v>0.26246910000000001</v>
      </c>
      <c r="AG26" s="11" t="s">
        <v>86</v>
      </c>
    </row>
    <row r="27" spans="1:33" x14ac:dyDescent="0.2">
      <c r="A27" s="8">
        <v>2357</v>
      </c>
      <c r="B27" s="9" t="s">
        <v>116</v>
      </c>
      <c r="C27" s="10">
        <v>43269</v>
      </c>
      <c r="D27" s="11">
        <v>136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131</v>
      </c>
      <c r="J27" s="12" t="s">
        <v>132</v>
      </c>
      <c r="K27" s="13" t="s">
        <v>107</v>
      </c>
      <c r="L27" s="11" t="str">
        <f>"00012A"</f>
        <v>00012A</v>
      </c>
      <c r="M27" s="10">
        <v>42818</v>
      </c>
      <c r="N27" s="11" t="str">
        <f>"000072"</f>
        <v>000072</v>
      </c>
      <c r="O27" s="10">
        <v>42804</v>
      </c>
      <c r="P27" s="11" t="str">
        <f>"000308"</f>
        <v>000308</v>
      </c>
      <c r="Q27" s="10">
        <v>42804</v>
      </c>
      <c r="R27" s="11">
        <v>16</v>
      </c>
      <c r="S27" s="11" t="str">
        <f>"002513"</f>
        <v>002513</v>
      </c>
      <c r="T27" s="10">
        <v>43264</v>
      </c>
      <c r="U27" s="14">
        <v>72.183999999999997</v>
      </c>
      <c r="V27" s="14">
        <v>4.6535000000000002</v>
      </c>
      <c r="W27" s="14">
        <v>67.530500000000004</v>
      </c>
      <c r="X27" s="11">
        <v>91</v>
      </c>
      <c r="Y27" s="10">
        <v>43269</v>
      </c>
      <c r="Z27" s="11">
        <v>9986692183</v>
      </c>
      <c r="AA27" s="12" t="s">
        <v>133</v>
      </c>
      <c r="AB27" s="11" t="s">
        <v>134</v>
      </c>
      <c r="AC27" s="12" t="s">
        <v>135</v>
      </c>
      <c r="AD27" s="11" t="s">
        <v>136</v>
      </c>
      <c r="AE27" s="12" t="s">
        <v>137</v>
      </c>
      <c r="AF27" s="14">
        <v>0.72183999999999993</v>
      </c>
      <c r="AG27" s="11" t="s">
        <v>46</v>
      </c>
    </row>
    <row r="28" spans="1:33" x14ac:dyDescent="0.2">
      <c r="A28" s="8">
        <v>2358</v>
      </c>
      <c r="B28" s="9" t="s">
        <v>116</v>
      </c>
      <c r="C28" s="10">
        <v>43269</v>
      </c>
      <c r="D28" s="11">
        <v>136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138</v>
      </c>
      <c r="J28" s="12" t="s">
        <v>139</v>
      </c>
      <c r="K28" s="13" t="s">
        <v>107</v>
      </c>
      <c r="L28" s="11" t="str">
        <f>"00011A"</f>
        <v>00011A</v>
      </c>
      <c r="M28" s="10">
        <v>42818</v>
      </c>
      <c r="N28" s="11" t="str">
        <f>"000071"</f>
        <v>000071</v>
      </c>
      <c r="O28" s="10">
        <v>42804</v>
      </c>
      <c r="P28" s="11" t="str">
        <f>"000309"</f>
        <v>000309</v>
      </c>
      <c r="Q28" s="10">
        <v>42804</v>
      </c>
      <c r="R28" s="11">
        <v>16</v>
      </c>
      <c r="S28" s="11" t="str">
        <f>"002514"</f>
        <v>002514</v>
      </c>
      <c r="T28" s="10">
        <v>43264</v>
      </c>
      <c r="U28" s="14">
        <v>69.046000000000006</v>
      </c>
      <c r="V28" s="14">
        <v>4.4615</v>
      </c>
      <c r="W28" s="14">
        <v>64.584500000000006</v>
      </c>
      <c r="X28" s="11">
        <v>91</v>
      </c>
      <c r="Y28" s="10">
        <v>43269</v>
      </c>
      <c r="Z28" s="11">
        <v>9986692183</v>
      </c>
      <c r="AA28" s="12" t="s">
        <v>133</v>
      </c>
      <c r="AB28" s="11" t="s">
        <v>134</v>
      </c>
      <c r="AC28" s="12" t="s">
        <v>135</v>
      </c>
      <c r="AD28" s="11" t="s">
        <v>136</v>
      </c>
      <c r="AE28" s="12" t="s">
        <v>137</v>
      </c>
      <c r="AF28" s="14">
        <v>0.69046000000000007</v>
      </c>
      <c r="AG28" s="11" t="s">
        <v>46</v>
      </c>
    </row>
    <row r="29" spans="1:33" x14ac:dyDescent="0.2">
      <c r="A29" s="8">
        <v>2408</v>
      </c>
      <c r="B29" s="9" t="s">
        <v>116</v>
      </c>
      <c r="C29" s="10">
        <v>43271</v>
      </c>
      <c r="D29" s="11">
        <v>136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140</v>
      </c>
      <c r="J29" s="12" t="s">
        <v>141</v>
      </c>
      <c r="K29" s="13" t="s">
        <v>107</v>
      </c>
      <c r="L29" s="11" t="str">
        <f>"000116"</f>
        <v>000116</v>
      </c>
      <c r="M29" s="10">
        <v>43249</v>
      </c>
      <c r="N29" s="11" t="str">
        <f>"000050"</f>
        <v>000050</v>
      </c>
      <c r="O29" s="10">
        <v>43250</v>
      </c>
      <c r="P29" s="11" t="str">
        <f>"000118"</f>
        <v>000118</v>
      </c>
      <c r="Q29" s="10">
        <v>43250</v>
      </c>
      <c r="R29" s="11">
        <v>18</v>
      </c>
      <c r="S29" s="11" t="str">
        <f>"002731"</f>
        <v>002731</v>
      </c>
      <c r="T29" s="10">
        <v>43270</v>
      </c>
      <c r="U29" s="14">
        <v>15.74282</v>
      </c>
      <c r="V29" s="14">
        <v>1.3695900000000001</v>
      </c>
      <c r="W29" s="14">
        <v>14.37323</v>
      </c>
      <c r="X29" s="11">
        <v>97</v>
      </c>
      <c r="Y29" s="10">
        <v>43271</v>
      </c>
      <c r="Z29" s="11">
        <v>9945533990</v>
      </c>
      <c r="AA29" s="12" t="s">
        <v>63</v>
      </c>
      <c r="AB29" s="11" t="s">
        <v>142</v>
      </c>
      <c r="AC29" s="12" t="s">
        <v>143</v>
      </c>
      <c r="AD29" s="11" t="s">
        <v>44</v>
      </c>
      <c r="AE29" s="12" t="s">
        <v>45</v>
      </c>
      <c r="AF29" s="14">
        <v>0.15742819999999999</v>
      </c>
      <c r="AG29" s="11" t="s">
        <v>86</v>
      </c>
    </row>
    <row r="30" spans="1:33" x14ac:dyDescent="0.2">
      <c r="A30" s="8">
        <v>2409</v>
      </c>
      <c r="B30" s="9" t="s">
        <v>116</v>
      </c>
      <c r="C30" s="10">
        <v>43271</v>
      </c>
      <c r="D30" s="11">
        <v>136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144</v>
      </c>
      <c r="J30" s="12" t="s">
        <v>145</v>
      </c>
      <c r="K30" s="13" t="s">
        <v>146</v>
      </c>
      <c r="L30" s="11" t="str">
        <f>"000101"</f>
        <v>000101</v>
      </c>
      <c r="M30" s="10">
        <v>43249</v>
      </c>
      <c r="N30" s="11" t="str">
        <f>"000047"</f>
        <v>000047</v>
      </c>
      <c r="O30" s="10">
        <v>43250</v>
      </c>
      <c r="P30" s="11" t="str">
        <f>"000115"</f>
        <v>000115</v>
      </c>
      <c r="Q30" s="10">
        <v>43250</v>
      </c>
      <c r="R30" s="11">
        <v>17</v>
      </c>
      <c r="S30" s="11" t="str">
        <f>"002732"</f>
        <v>002732</v>
      </c>
      <c r="T30" s="10">
        <v>43270</v>
      </c>
      <c r="U30" s="14">
        <v>10.49075</v>
      </c>
      <c r="V30" s="14">
        <v>0.80776000000000003</v>
      </c>
      <c r="W30" s="14">
        <v>9.6829900000000002</v>
      </c>
      <c r="X30" s="11">
        <v>97</v>
      </c>
      <c r="Y30" s="10">
        <v>43271</v>
      </c>
      <c r="Z30" s="11">
        <v>9945533990</v>
      </c>
      <c r="AA30" s="12" t="s">
        <v>53</v>
      </c>
      <c r="AB30" s="11" t="s">
        <v>94</v>
      </c>
      <c r="AC30" s="12" t="s">
        <v>95</v>
      </c>
      <c r="AD30" s="11" t="s">
        <v>44</v>
      </c>
      <c r="AE30" s="12" t="s">
        <v>45</v>
      </c>
      <c r="AF30" s="14">
        <v>0.1049075</v>
      </c>
      <c r="AG30" s="11" t="s">
        <v>86</v>
      </c>
    </row>
    <row r="31" spans="1:33" x14ac:dyDescent="0.2">
      <c r="A31" s="8">
        <v>2649</v>
      </c>
      <c r="B31" s="9" t="s">
        <v>116</v>
      </c>
      <c r="C31" s="10">
        <v>43276</v>
      </c>
      <c r="D31" s="11">
        <v>136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147</v>
      </c>
      <c r="J31" s="12" t="s">
        <v>148</v>
      </c>
      <c r="K31" s="13" t="s">
        <v>40</v>
      </c>
      <c r="L31" s="11" t="str">
        <f>"000103"</f>
        <v>000103</v>
      </c>
      <c r="M31" s="10">
        <v>43249</v>
      </c>
      <c r="N31" s="11" t="str">
        <f>"000045"</f>
        <v>000045</v>
      </c>
      <c r="O31" s="10">
        <v>43250</v>
      </c>
      <c r="P31" s="11" t="str">
        <f>"000113"</f>
        <v>000113</v>
      </c>
      <c r="Q31" s="10">
        <v>43250</v>
      </c>
      <c r="R31" s="11">
        <v>18</v>
      </c>
      <c r="S31" s="11" t="str">
        <f>"002657"</f>
        <v>002657</v>
      </c>
      <c r="T31" s="10">
        <v>43269</v>
      </c>
      <c r="U31" s="14">
        <v>26.243770000000001</v>
      </c>
      <c r="V31" s="14">
        <v>2.3094199999999998</v>
      </c>
      <c r="W31" s="14">
        <v>23.934349999999998</v>
      </c>
      <c r="X31" s="11">
        <v>100</v>
      </c>
      <c r="Y31" s="10">
        <v>43276</v>
      </c>
      <c r="Z31" s="11">
        <v>9945533990</v>
      </c>
      <c r="AA31" s="12" t="s">
        <v>53</v>
      </c>
      <c r="AB31" s="11" t="s">
        <v>125</v>
      </c>
      <c r="AC31" s="12" t="s">
        <v>126</v>
      </c>
      <c r="AD31" s="11" t="s">
        <v>44</v>
      </c>
      <c r="AE31" s="12" t="s">
        <v>45</v>
      </c>
      <c r="AF31" s="14">
        <v>0.2624377</v>
      </c>
      <c r="AG31" s="11" t="s">
        <v>86</v>
      </c>
    </row>
    <row r="32" spans="1:33" x14ac:dyDescent="0.2">
      <c r="A32" s="8">
        <v>2650</v>
      </c>
      <c r="B32" s="9" t="s">
        <v>116</v>
      </c>
      <c r="C32" s="10">
        <v>43276</v>
      </c>
      <c r="D32" s="11">
        <v>136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149</v>
      </c>
      <c r="J32" s="12" t="s">
        <v>150</v>
      </c>
      <c r="K32" s="13" t="s">
        <v>40</v>
      </c>
      <c r="L32" s="11" t="str">
        <f>"000102"</f>
        <v>000102</v>
      </c>
      <c r="M32" s="10">
        <v>43249</v>
      </c>
      <c r="N32" s="11" t="str">
        <f>"000046"</f>
        <v>000046</v>
      </c>
      <c r="O32" s="10">
        <v>43250</v>
      </c>
      <c r="P32" s="11" t="str">
        <f>"000114"</f>
        <v>000114</v>
      </c>
      <c r="Q32" s="10">
        <v>43250</v>
      </c>
      <c r="R32" s="11">
        <v>18</v>
      </c>
      <c r="S32" s="11" t="str">
        <f>"002658"</f>
        <v>002658</v>
      </c>
      <c r="T32" s="10">
        <v>43269</v>
      </c>
      <c r="U32" s="14">
        <v>26.243189999999998</v>
      </c>
      <c r="V32" s="14">
        <v>2.3093900000000001</v>
      </c>
      <c r="W32" s="14">
        <v>23.933800000000002</v>
      </c>
      <c r="X32" s="11">
        <v>100</v>
      </c>
      <c r="Y32" s="10">
        <v>43276</v>
      </c>
      <c r="Z32" s="11">
        <v>9945533990</v>
      </c>
      <c r="AA32" s="12" t="s">
        <v>53</v>
      </c>
      <c r="AB32" s="11" t="s">
        <v>125</v>
      </c>
      <c r="AC32" s="12" t="s">
        <v>126</v>
      </c>
      <c r="AD32" s="11" t="s">
        <v>44</v>
      </c>
      <c r="AE32" s="12" t="s">
        <v>45</v>
      </c>
      <c r="AF32" s="14">
        <v>0.2624319</v>
      </c>
      <c r="AG32" s="11" t="s">
        <v>86</v>
      </c>
    </row>
    <row r="33" spans="1:33" x14ac:dyDescent="0.2">
      <c r="A33" s="8">
        <v>2722</v>
      </c>
      <c r="B33" s="9" t="s">
        <v>116</v>
      </c>
      <c r="C33" s="10">
        <v>43278</v>
      </c>
      <c r="D33" s="11">
        <v>136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151</v>
      </c>
      <c r="J33" s="12" t="s">
        <v>152</v>
      </c>
      <c r="K33" s="13" t="s">
        <v>107</v>
      </c>
      <c r="L33" s="11" t="str">
        <f>"000053"</f>
        <v>000053</v>
      </c>
      <c r="M33" s="10">
        <v>42636</v>
      </c>
      <c r="N33" s="11" t="str">
        <f>"000186"</f>
        <v>000186</v>
      </c>
      <c r="O33" s="10">
        <v>42671</v>
      </c>
      <c r="P33" s="11" t="str">
        <f>"000560"</f>
        <v>000560</v>
      </c>
      <c r="Q33" s="10">
        <v>42671</v>
      </c>
      <c r="R33" s="11">
        <v>14</v>
      </c>
      <c r="S33" s="11" t="str">
        <f>"002924"</f>
        <v>002924</v>
      </c>
      <c r="T33" s="10">
        <v>43276</v>
      </c>
      <c r="U33" s="14">
        <v>20.880929999999999</v>
      </c>
      <c r="V33" s="14">
        <v>2.7433299999999998</v>
      </c>
      <c r="W33" s="14">
        <v>18.137599999999999</v>
      </c>
      <c r="X33" s="11">
        <v>103</v>
      </c>
      <c r="Y33" s="10">
        <v>43278</v>
      </c>
      <c r="Z33" s="11">
        <v>9448670844</v>
      </c>
      <c r="AA33" s="12" t="s">
        <v>49</v>
      </c>
      <c r="AB33" s="11" t="s">
        <v>153</v>
      </c>
      <c r="AC33" s="12" t="s">
        <v>154</v>
      </c>
      <c r="AD33" s="11" t="s">
        <v>44</v>
      </c>
      <c r="AE33" s="12" t="s">
        <v>45</v>
      </c>
      <c r="AF33" s="14">
        <v>0.2088093</v>
      </c>
      <c r="AG33" s="11" t="s">
        <v>46</v>
      </c>
    </row>
    <row r="34" spans="1:33" x14ac:dyDescent="0.2">
      <c r="A34" s="8">
        <v>2723</v>
      </c>
      <c r="B34" s="9" t="s">
        <v>116</v>
      </c>
      <c r="C34" s="10">
        <v>43278</v>
      </c>
      <c r="D34" s="11">
        <v>136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155</v>
      </c>
      <c r="J34" s="12" t="s">
        <v>156</v>
      </c>
      <c r="K34" s="13" t="s">
        <v>107</v>
      </c>
      <c r="L34" s="11" t="str">
        <f>"000056"</f>
        <v>000056</v>
      </c>
      <c r="M34" s="10">
        <v>42636</v>
      </c>
      <c r="N34" s="11" t="str">
        <f>"000561"</f>
        <v>000561</v>
      </c>
      <c r="O34" s="10">
        <v>42671</v>
      </c>
      <c r="P34" s="11" t="str">
        <f>"000561"</f>
        <v>000561</v>
      </c>
      <c r="Q34" s="10">
        <v>42671</v>
      </c>
      <c r="R34" s="11">
        <v>14</v>
      </c>
      <c r="S34" s="11" t="str">
        <f>"002925"</f>
        <v>002925</v>
      </c>
      <c r="T34" s="10">
        <v>43276</v>
      </c>
      <c r="U34" s="14">
        <v>20.973849999999999</v>
      </c>
      <c r="V34" s="14">
        <v>2.75448</v>
      </c>
      <c r="W34" s="14">
        <v>18.219370000000001</v>
      </c>
      <c r="X34" s="11">
        <v>103</v>
      </c>
      <c r="Y34" s="10">
        <v>43278</v>
      </c>
      <c r="Z34" s="11">
        <v>9448670844</v>
      </c>
      <c r="AA34" s="12" t="s">
        <v>157</v>
      </c>
      <c r="AB34" s="11" t="s">
        <v>153</v>
      </c>
      <c r="AC34" s="12" t="s">
        <v>154</v>
      </c>
      <c r="AD34" s="11" t="s">
        <v>44</v>
      </c>
      <c r="AE34" s="12" t="s">
        <v>45</v>
      </c>
      <c r="AF34" s="14">
        <v>0.20973849999999999</v>
      </c>
      <c r="AG34" s="11" t="s">
        <v>46</v>
      </c>
    </row>
    <row r="35" spans="1:33" x14ac:dyDescent="0.2">
      <c r="A35" s="8">
        <v>2724</v>
      </c>
      <c r="B35" s="9" t="s">
        <v>116</v>
      </c>
      <c r="C35" s="10">
        <v>43278</v>
      </c>
      <c r="D35" s="11">
        <v>136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158</v>
      </c>
      <c r="J35" s="12" t="s">
        <v>159</v>
      </c>
      <c r="K35" s="13" t="s">
        <v>107</v>
      </c>
      <c r="L35" s="11" t="str">
        <f>"000060"</f>
        <v>000060</v>
      </c>
      <c r="M35" s="10">
        <v>42636</v>
      </c>
      <c r="N35" s="11" t="str">
        <f>"000188"</f>
        <v>000188</v>
      </c>
      <c r="O35" s="10">
        <v>42671</v>
      </c>
      <c r="P35" s="11" t="str">
        <f>"000562"</f>
        <v>000562</v>
      </c>
      <c r="Q35" s="10">
        <v>42671</v>
      </c>
      <c r="R35" s="11">
        <v>14</v>
      </c>
      <c r="S35" s="11" t="str">
        <f>"002926"</f>
        <v>002926</v>
      </c>
      <c r="T35" s="10">
        <v>43276</v>
      </c>
      <c r="U35" s="14">
        <v>20.77562</v>
      </c>
      <c r="V35" s="14">
        <v>2.73007</v>
      </c>
      <c r="W35" s="14">
        <v>18.045549999999999</v>
      </c>
      <c r="X35" s="11">
        <v>103</v>
      </c>
      <c r="Y35" s="10">
        <v>43278</v>
      </c>
      <c r="Z35" s="11">
        <v>9448670844</v>
      </c>
      <c r="AA35" s="12" t="s">
        <v>157</v>
      </c>
      <c r="AB35" s="11" t="s">
        <v>153</v>
      </c>
      <c r="AC35" s="12" t="s">
        <v>154</v>
      </c>
      <c r="AD35" s="11" t="s">
        <v>44</v>
      </c>
      <c r="AE35" s="12" t="s">
        <v>45</v>
      </c>
      <c r="AF35" s="14">
        <v>0.2077562</v>
      </c>
      <c r="AG35" s="11" t="s">
        <v>46</v>
      </c>
    </row>
    <row r="36" spans="1:33" x14ac:dyDescent="0.2">
      <c r="A36" s="8">
        <v>2725</v>
      </c>
      <c r="B36" s="9" t="s">
        <v>116</v>
      </c>
      <c r="C36" s="10">
        <v>43278</v>
      </c>
      <c r="D36" s="11">
        <v>136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160</v>
      </c>
      <c r="J36" s="12" t="s">
        <v>161</v>
      </c>
      <c r="K36" s="13" t="s">
        <v>107</v>
      </c>
      <c r="L36" s="11" t="str">
        <f>"000057"</f>
        <v>000057</v>
      </c>
      <c r="M36" s="10">
        <v>42636</v>
      </c>
      <c r="N36" s="11" t="str">
        <f>"000189"</f>
        <v>000189</v>
      </c>
      <c r="O36" s="10">
        <v>42671</v>
      </c>
      <c r="P36" s="11" t="str">
        <f>"000564"</f>
        <v>000564</v>
      </c>
      <c r="Q36" s="10">
        <v>42671</v>
      </c>
      <c r="R36" s="11">
        <v>14</v>
      </c>
      <c r="S36" s="11" t="str">
        <f>"002927"</f>
        <v>002927</v>
      </c>
      <c r="T36" s="10">
        <v>43276</v>
      </c>
      <c r="U36" s="14">
        <v>20.926439999999999</v>
      </c>
      <c r="V36" s="14">
        <v>2.9631799999999999</v>
      </c>
      <c r="W36" s="14">
        <v>17.963259999999998</v>
      </c>
      <c r="X36" s="11">
        <v>103</v>
      </c>
      <c r="Y36" s="10">
        <v>43278</v>
      </c>
      <c r="Z36" s="11">
        <v>9448670844</v>
      </c>
      <c r="AA36" s="12" t="s">
        <v>157</v>
      </c>
      <c r="AB36" s="11" t="s">
        <v>153</v>
      </c>
      <c r="AC36" s="12" t="s">
        <v>154</v>
      </c>
      <c r="AD36" s="11" t="s">
        <v>44</v>
      </c>
      <c r="AE36" s="12" t="s">
        <v>45</v>
      </c>
      <c r="AF36" s="14">
        <v>0.20926439999999999</v>
      </c>
      <c r="AG36" s="11" t="s">
        <v>46</v>
      </c>
    </row>
    <row r="37" spans="1:33" x14ac:dyDescent="0.2">
      <c r="A37" s="8">
        <v>2726</v>
      </c>
      <c r="B37" s="9" t="s">
        <v>116</v>
      </c>
      <c r="C37" s="10">
        <v>43278</v>
      </c>
      <c r="D37" s="11">
        <v>136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162</v>
      </c>
      <c r="J37" s="12" t="s">
        <v>163</v>
      </c>
      <c r="K37" s="13" t="s">
        <v>107</v>
      </c>
      <c r="L37" s="11" t="str">
        <f>"000055"</f>
        <v>000055</v>
      </c>
      <c r="M37" s="10">
        <v>42636</v>
      </c>
      <c r="N37" s="11" t="str">
        <f>"000190"</f>
        <v>000190</v>
      </c>
      <c r="O37" s="10">
        <v>42671</v>
      </c>
      <c r="P37" s="11" t="str">
        <f>"000565"</f>
        <v>000565</v>
      </c>
      <c r="Q37" s="10">
        <v>42671</v>
      </c>
      <c r="R37" s="11">
        <v>14</v>
      </c>
      <c r="S37" s="11" t="str">
        <f>"002928"</f>
        <v>002928</v>
      </c>
      <c r="T37" s="10">
        <v>43276</v>
      </c>
      <c r="U37" s="14">
        <v>20.94802</v>
      </c>
      <c r="V37" s="14">
        <v>2.96624</v>
      </c>
      <c r="W37" s="14">
        <v>17.981780000000001</v>
      </c>
      <c r="X37" s="11">
        <v>103</v>
      </c>
      <c r="Y37" s="10">
        <v>43278</v>
      </c>
      <c r="Z37" s="11">
        <v>9448670844</v>
      </c>
      <c r="AA37" s="12" t="s">
        <v>49</v>
      </c>
      <c r="AB37" s="11" t="s">
        <v>153</v>
      </c>
      <c r="AC37" s="12" t="s">
        <v>154</v>
      </c>
      <c r="AD37" s="11" t="s">
        <v>44</v>
      </c>
      <c r="AE37" s="12" t="s">
        <v>45</v>
      </c>
      <c r="AF37" s="14">
        <v>0.20948020000000001</v>
      </c>
      <c r="AG37" s="11" t="s">
        <v>46</v>
      </c>
    </row>
    <row r="38" spans="1:33" x14ac:dyDescent="0.2">
      <c r="A38" s="8">
        <v>2727</v>
      </c>
      <c r="B38" s="9" t="s">
        <v>116</v>
      </c>
      <c r="C38" s="10">
        <v>43278</v>
      </c>
      <c r="D38" s="11">
        <v>136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164</v>
      </c>
      <c r="J38" s="12" t="s">
        <v>165</v>
      </c>
      <c r="K38" s="13" t="s">
        <v>107</v>
      </c>
      <c r="L38" s="11" t="str">
        <f>"000036"</f>
        <v>000036</v>
      </c>
      <c r="M38" s="10">
        <v>42576</v>
      </c>
      <c r="N38" s="11" t="str">
        <f>"000144"</f>
        <v>000144</v>
      </c>
      <c r="O38" s="10">
        <v>42642</v>
      </c>
      <c r="P38" s="11" t="str">
        <f>"000587"</f>
        <v>000587</v>
      </c>
      <c r="Q38" s="10">
        <v>42671</v>
      </c>
      <c r="R38" s="11">
        <v>16</v>
      </c>
      <c r="S38" s="11" t="str">
        <f>"002936"</f>
        <v>002936</v>
      </c>
      <c r="T38" s="10">
        <v>43276</v>
      </c>
      <c r="U38" s="14">
        <v>20.97616</v>
      </c>
      <c r="V38" s="14">
        <v>2.7793299999999999</v>
      </c>
      <c r="W38" s="14">
        <v>18.196829999999999</v>
      </c>
      <c r="X38" s="11">
        <v>103</v>
      </c>
      <c r="Y38" s="10">
        <v>43278</v>
      </c>
      <c r="Z38" s="11">
        <v>9945533990</v>
      </c>
      <c r="AA38" s="12" t="s">
        <v>166</v>
      </c>
      <c r="AB38" s="11" t="s">
        <v>167</v>
      </c>
      <c r="AC38" s="12" t="s">
        <v>168</v>
      </c>
      <c r="AD38" s="11" t="s">
        <v>44</v>
      </c>
      <c r="AE38" s="12" t="s">
        <v>45</v>
      </c>
      <c r="AF38" s="14">
        <v>0.20976159999999999</v>
      </c>
      <c r="AG38" s="11" t="s">
        <v>46</v>
      </c>
    </row>
    <row r="39" spans="1:33" x14ac:dyDescent="0.2">
      <c r="A39" s="8">
        <v>2728</v>
      </c>
      <c r="B39" s="9" t="s">
        <v>116</v>
      </c>
      <c r="C39" s="10">
        <v>43278</v>
      </c>
      <c r="D39" s="11">
        <v>136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169</v>
      </c>
      <c r="J39" s="12" t="s">
        <v>170</v>
      </c>
      <c r="K39" s="13" t="s">
        <v>107</v>
      </c>
      <c r="L39" s="11" t="str">
        <f>"000043"</f>
        <v>000043</v>
      </c>
      <c r="M39" s="10">
        <v>42576</v>
      </c>
      <c r="N39" s="11" t="str">
        <f>"000145"</f>
        <v>000145</v>
      </c>
      <c r="O39" s="10">
        <v>42642</v>
      </c>
      <c r="P39" s="11" t="str">
        <f>"000589"</f>
        <v>000589</v>
      </c>
      <c r="Q39" s="10">
        <v>42671</v>
      </c>
      <c r="R39" s="11">
        <v>16</v>
      </c>
      <c r="S39" s="11" t="str">
        <f>"002939"</f>
        <v>002939</v>
      </c>
      <c r="T39" s="10">
        <v>43276</v>
      </c>
      <c r="U39" s="14">
        <v>20.983499999999999</v>
      </c>
      <c r="V39" s="14">
        <v>2.78966</v>
      </c>
      <c r="W39" s="14">
        <v>18.193840000000002</v>
      </c>
      <c r="X39" s="11">
        <v>103</v>
      </c>
      <c r="Y39" s="10">
        <v>43278</v>
      </c>
      <c r="Z39" s="11">
        <v>9945533990</v>
      </c>
      <c r="AA39" s="12" t="s">
        <v>166</v>
      </c>
      <c r="AB39" s="11" t="s">
        <v>167</v>
      </c>
      <c r="AC39" s="12" t="s">
        <v>168</v>
      </c>
      <c r="AD39" s="11" t="s">
        <v>44</v>
      </c>
      <c r="AE39" s="12" t="s">
        <v>45</v>
      </c>
      <c r="AF39" s="14">
        <v>0.20983499999999999</v>
      </c>
      <c r="AG39" s="11" t="s">
        <v>46</v>
      </c>
    </row>
    <row r="40" spans="1:33" x14ac:dyDescent="0.2">
      <c r="A40" s="8">
        <v>2729</v>
      </c>
      <c r="B40" s="9" t="s">
        <v>116</v>
      </c>
      <c r="C40" s="10">
        <v>43278</v>
      </c>
      <c r="D40" s="11">
        <v>136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171</v>
      </c>
      <c r="J40" s="12" t="s">
        <v>172</v>
      </c>
      <c r="K40" s="13" t="s">
        <v>107</v>
      </c>
      <c r="L40" s="11" t="str">
        <f>"000035"</f>
        <v>000035</v>
      </c>
      <c r="M40" s="10">
        <v>42576</v>
      </c>
      <c r="N40" s="11" t="str">
        <f>"000137"</f>
        <v>000137</v>
      </c>
      <c r="O40" s="10">
        <v>42642</v>
      </c>
      <c r="P40" s="11" t="str">
        <f>"000592"</f>
        <v>000592</v>
      </c>
      <c r="Q40" s="10">
        <v>42671</v>
      </c>
      <c r="R40" s="11">
        <v>16</v>
      </c>
      <c r="S40" s="11" t="str">
        <f>"002940"</f>
        <v>002940</v>
      </c>
      <c r="T40" s="10">
        <v>43276</v>
      </c>
      <c r="U40" s="14">
        <v>20.817869999999999</v>
      </c>
      <c r="V40" s="14">
        <v>2.7609900000000001</v>
      </c>
      <c r="W40" s="14">
        <v>18.05688</v>
      </c>
      <c r="X40" s="11">
        <v>103</v>
      </c>
      <c r="Y40" s="10">
        <v>43278</v>
      </c>
      <c r="Z40" s="11">
        <v>9945533990</v>
      </c>
      <c r="AA40" s="12" t="s">
        <v>166</v>
      </c>
      <c r="AB40" s="11" t="s">
        <v>167</v>
      </c>
      <c r="AC40" s="12" t="s">
        <v>168</v>
      </c>
      <c r="AD40" s="11" t="s">
        <v>44</v>
      </c>
      <c r="AE40" s="12" t="s">
        <v>45</v>
      </c>
      <c r="AF40" s="14">
        <v>0.20817869999999999</v>
      </c>
      <c r="AG40" s="11" t="s">
        <v>46</v>
      </c>
    </row>
    <row r="41" spans="1:33" x14ac:dyDescent="0.2">
      <c r="A41" s="8">
        <v>2730</v>
      </c>
      <c r="B41" s="9" t="s">
        <v>116</v>
      </c>
      <c r="C41" s="10">
        <v>43278</v>
      </c>
      <c r="D41" s="11">
        <v>136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173</v>
      </c>
      <c r="J41" s="12" t="s">
        <v>174</v>
      </c>
      <c r="K41" s="13" t="s">
        <v>107</v>
      </c>
      <c r="L41" s="11" t="str">
        <f>"000034"</f>
        <v>000034</v>
      </c>
      <c r="M41" s="10">
        <v>42576</v>
      </c>
      <c r="N41" s="11" t="str">
        <f>"000593"</f>
        <v>000593</v>
      </c>
      <c r="O41" s="10">
        <v>42642</v>
      </c>
      <c r="P41" s="11" t="str">
        <f>"000593"</f>
        <v>000593</v>
      </c>
      <c r="Q41" s="10">
        <v>42671</v>
      </c>
      <c r="R41" s="11">
        <v>16</v>
      </c>
      <c r="S41" s="11" t="str">
        <f>"002941"</f>
        <v>002941</v>
      </c>
      <c r="T41" s="10">
        <v>43276</v>
      </c>
      <c r="U41" s="14">
        <v>20.968800000000002</v>
      </c>
      <c r="V41" s="14">
        <v>2.77969</v>
      </c>
      <c r="W41" s="14">
        <v>18.189109999999999</v>
      </c>
      <c r="X41" s="11">
        <v>103</v>
      </c>
      <c r="Y41" s="10">
        <v>43278</v>
      </c>
      <c r="Z41" s="11">
        <v>9945533990</v>
      </c>
      <c r="AA41" s="12" t="s">
        <v>166</v>
      </c>
      <c r="AB41" s="11" t="s">
        <v>167</v>
      </c>
      <c r="AC41" s="12" t="s">
        <v>168</v>
      </c>
      <c r="AD41" s="11" t="s">
        <v>44</v>
      </c>
      <c r="AE41" s="12" t="s">
        <v>45</v>
      </c>
      <c r="AF41" s="14">
        <v>0.20968800000000001</v>
      </c>
      <c r="AG41" s="11" t="s">
        <v>46</v>
      </c>
    </row>
    <row r="42" spans="1:33" x14ac:dyDescent="0.2">
      <c r="A42" s="8">
        <v>2731</v>
      </c>
      <c r="B42" s="9" t="s">
        <v>116</v>
      </c>
      <c r="C42" s="10">
        <v>43278</v>
      </c>
      <c r="D42" s="11">
        <v>136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175</v>
      </c>
      <c r="J42" s="12" t="s">
        <v>176</v>
      </c>
      <c r="K42" s="13" t="s">
        <v>107</v>
      </c>
      <c r="L42" s="11" t="str">
        <f>"000042"</f>
        <v>000042</v>
      </c>
      <c r="M42" s="10">
        <v>42576</v>
      </c>
      <c r="N42" s="11" t="str">
        <f>"000484"</f>
        <v>000484</v>
      </c>
      <c r="O42" s="10">
        <v>42642</v>
      </c>
      <c r="P42" s="11" t="str">
        <f>"000594"</f>
        <v>000594</v>
      </c>
      <c r="Q42" s="10">
        <v>42671</v>
      </c>
      <c r="R42" s="11">
        <v>16</v>
      </c>
      <c r="S42" s="11" t="str">
        <f>"002942"</f>
        <v>002942</v>
      </c>
      <c r="T42" s="10">
        <v>43276</v>
      </c>
      <c r="U42" s="14">
        <v>20.959589999999999</v>
      </c>
      <c r="V42" s="14">
        <v>2.7770000000000001</v>
      </c>
      <c r="W42" s="14">
        <v>18.182590000000001</v>
      </c>
      <c r="X42" s="11">
        <v>103</v>
      </c>
      <c r="Y42" s="10">
        <v>43278</v>
      </c>
      <c r="Z42" s="11">
        <v>9945533990</v>
      </c>
      <c r="AA42" s="12" t="s">
        <v>166</v>
      </c>
      <c r="AB42" s="11" t="s">
        <v>167</v>
      </c>
      <c r="AC42" s="12" t="s">
        <v>168</v>
      </c>
      <c r="AD42" s="11" t="s">
        <v>44</v>
      </c>
      <c r="AE42" s="12" t="s">
        <v>45</v>
      </c>
      <c r="AF42" s="14">
        <v>0.20959589999999997</v>
      </c>
      <c r="AG42" s="11" t="s">
        <v>46</v>
      </c>
    </row>
    <row r="43" spans="1:33" x14ac:dyDescent="0.2">
      <c r="A43" s="8">
        <v>2732</v>
      </c>
      <c r="B43" s="9" t="s">
        <v>116</v>
      </c>
      <c r="C43" s="10">
        <v>43278</v>
      </c>
      <c r="D43" s="11">
        <v>136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177</v>
      </c>
      <c r="J43" s="12" t="s">
        <v>178</v>
      </c>
      <c r="K43" s="13" t="s">
        <v>107</v>
      </c>
      <c r="L43" s="11" t="str">
        <f>"000037"</f>
        <v>000037</v>
      </c>
      <c r="M43" s="10">
        <v>42576</v>
      </c>
      <c r="N43" s="11" t="str">
        <f>"000221"</f>
        <v>000221</v>
      </c>
      <c r="O43" s="10">
        <v>42642</v>
      </c>
      <c r="P43" s="11" t="str">
        <f>"000595"</f>
        <v>000595</v>
      </c>
      <c r="Q43" s="10">
        <v>42671</v>
      </c>
      <c r="R43" s="11">
        <v>16</v>
      </c>
      <c r="S43" s="11" t="str">
        <f>"002943"</f>
        <v>002943</v>
      </c>
      <c r="T43" s="10">
        <v>43276</v>
      </c>
      <c r="U43" s="14">
        <v>20.980119999999999</v>
      </c>
      <c r="V43" s="14">
        <v>2.7784300000000002</v>
      </c>
      <c r="W43" s="14">
        <v>18.201689999999999</v>
      </c>
      <c r="X43" s="11">
        <v>103</v>
      </c>
      <c r="Y43" s="10">
        <v>43278</v>
      </c>
      <c r="Z43" s="11">
        <v>9945533990</v>
      </c>
      <c r="AA43" s="12" t="s">
        <v>166</v>
      </c>
      <c r="AB43" s="11" t="s">
        <v>167</v>
      </c>
      <c r="AC43" s="12" t="s">
        <v>168</v>
      </c>
      <c r="AD43" s="11" t="s">
        <v>44</v>
      </c>
      <c r="AE43" s="12" t="s">
        <v>45</v>
      </c>
      <c r="AF43" s="14">
        <v>0.20980119999999999</v>
      </c>
      <c r="AG43" s="11" t="s">
        <v>46</v>
      </c>
    </row>
    <row r="44" spans="1:33" x14ac:dyDescent="0.2">
      <c r="A44" s="8">
        <v>2733</v>
      </c>
      <c r="B44" s="9" t="s">
        <v>116</v>
      </c>
      <c r="C44" s="10">
        <v>43278</v>
      </c>
      <c r="D44" s="11">
        <v>136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179</v>
      </c>
      <c r="J44" s="12" t="s">
        <v>180</v>
      </c>
      <c r="K44" s="13" t="s">
        <v>107</v>
      </c>
      <c r="L44" s="11" t="str">
        <f>"000046"</f>
        <v>000046</v>
      </c>
      <c r="M44" s="10">
        <v>42576</v>
      </c>
      <c r="N44" s="11" t="str">
        <f>"000121"</f>
        <v>000121</v>
      </c>
      <c r="O44" s="10">
        <v>42642</v>
      </c>
      <c r="P44" s="11" t="str">
        <f>"000597"</f>
        <v>000597</v>
      </c>
      <c r="Q44" s="10">
        <v>42671</v>
      </c>
      <c r="R44" s="11">
        <v>16</v>
      </c>
      <c r="S44" s="11" t="str">
        <f>"002944"</f>
        <v>002944</v>
      </c>
      <c r="T44" s="10">
        <v>43276</v>
      </c>
      <c r="U44" s="14">
        <v>20.99</v>
      </c>
      <c r="V44" s="14">
        <v>2.66873</v>
      </c>
      <c r="W44" s="14">
        <v>18.321269999999998</v>
      </c>
      <c r="X44" s="11">
        <v>103</v>
      </c>
      <c r="Y44" s="10">
        <v>43278</v>
      </c>
      <c r="Z44" s="11">
        <v>9945533990</v>
      </c>
      <c r="AA44" s="12" t="s">
        <v>181</v>
      </c>
      <c r="AB44" s="11" t="s">
        <v>167</v>
      </c>
      <c r="AC44" s="12" t="s">
        <v>168</v>
      </c>
      <c r="AD44" s="11" t="s">
        <v>44</v>
      </c>
      <c r="AE44" s="12" t="s">
        <v>45</v>
      </c>
      <c r="AF44" s="14">
        <v>0.20989999999999998</v>
      </c>
      <c r="AG44" s="11" t="s">
        <v>46</v>
      </c>
    </row>
    <row r="45" spans="1:33" x14ac:dyDescent="0.2">
      <c r="A45" s="8">
        <v>2734</v>
      </c>
      <c r="B45" s="9" t="s">
        <v>116</v>
      </c>
      <c r="C45" s="10">
        <v>43278</v>
      </c>
      <c r="D45" s="11">
        <v>136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182</v>
      </c>
      <c r="J45" s="12" t="s">
        <v>183</v>
      </c>
      <c r="K45" s="13" t="s">
        <v>107</v>
      </c>
      <c r="L45" s="11" t="str">
        <f>"000044"</f>
        <v>000044</v>
      </c>
      <c r="M45" s="10">
        <v>42576</v>
      </c>
      <c r="N45" s="11" t="str">
        <f>"000523"</f>
        <v>000523</v>
      </c>
      <c r="O45" s="10">
        <v>42642</v>
      </c>
      <c r="P45" s="11" t="str">
        <f>"000598"</f>
        <v>000598</v>
      </c>
      <c r="Q45" s="10">
        <v>42671</v>
      </c>
      <c r="R45" s="11">
        <v>16</v>
      </c>
      <c r="S45" s="11" t="str">
        <f>"002945"</f>
        <v>002945</v>
      </c>
      <c r="T45" s="10">
        <v>43276</v>
      </c>
      <c r="U45" s="14">
        <v>20.99</v>
      </c>
      <c r="V45" s="14">
        <v>2.7077100000000001</v>
      </c>
      <c r="W45" s="14">
        <v>18.28229</v>
      </c>
      <c r="X45" s="11">
        <v>103</v>
      </c>
      <c r="Y45" s="10">
        <v>43278</v>
      </c>
      <c r="Z45" s="11">
        <v>9945533990</v>
      </c>
      <c r="AA45" s="12" t="s">
        <v>166</v>
      </c>
      <c r="AB45" s="11" t="s">
        <v>167</v>
      </c>
      <c r="AC45" s="12" t="s">
        <v>168</v>
      </c>
      <c r="AD45" s="11" t="s">
        <v>44</v>
      </c>
      <c r="AE45" s="12" t="s">
        <v>45</v>
      </c>
      <c r="AF45" s="14">
        <v>0.20989999999999998</v>
      </c>
      <c r="AG45" s="11" t="s">
        <v>46</v>
      </c>
    </row>
    <row r="46" spans="1:33" x14ac:dyDescent="0.2">
      <c r="A46" s="8">
        <v>2735</v>
      </c>
      <c r="B46" s="9" t="s">
        <v>116</v>
      </c>
      <c r="C46" s="10">
        <v>43278</v>
      </c>
      <c r="D46" s="11">
        <v>136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184</v>
      </c>
      <c r="J46" s="12" t="s">
        <v>185</v>
      </c>
      <c r="K46" s="13" t="s">
        <v>83</v>
      </c>
      <c r="L46" s="11" t="str">
        <f>"000038"</f>
        <v>000038</v>
      </c>
      <c r="M46" s="10">
        <v>42576</v>
      </c>
      <c r="N46" s="11" t="str">
        <f>"000116"</f>
        <v>000116</v>
      </c>
      <c r="O46" s="10">
        <v>42642</v>
      </c>
      <c r="P46" s="11" t="str">
        <f>"000599"</f>
        <v>000599</v>
      </c>
      <c r="Q46" s="10">
        <v>42671</v>
      </c>
      <c r="R46" s="11">
        <v>16</v>
      </c>
      <c r="S46" s="11" t="str">
        <f>"002946"</f>
        <v>002946</v>
      </c>
      <c r="T46" s="10">
        <v>43276</v>
      </c>
      <c r="U46" s="14">
        <v>10.49483</v>
      </c>
      <c r="V46" s="14">
        <v>1.3328</v>
      </c>
      <c r="W46" s="14">
        <v>9.1620299999999997</v>
      </c>
      <c r="X46" s="11">
        <v>103</v>
      </c>
      <c r="Y46" s="10">
        <v>43278</v>
      </c>
      <c r="Z46" s="11">
        <v>9945533990</v>
      </c>
      <c r="AA46" s="12" t="s">
        <v>186</v>
      </c>
      <c r="AB46" s="11" t="s">
        <v>119</v>
      </c>
      <c r="AC46" s="12" t="s">
        <v>120</v>
      </c>
      <c r="AD46" s="11" t="s">
        <v>44</v>
      </c>
      <c r="AE46" s="12" t="s">
        <v>45</v>
      </c>
      <c r="AF46" s="14">
        <v>0.10494830000000001</v>
      </c>
      <c r="AG46" s="11" t="s">
        <v>46</v>
      </c>
    </row>
    <row r="47" spans="1:33" x14ac:dyDescent="0.2">
      <c r="A47" s="8">
        <v>2736</v>
      </c>
      <c r="B47" s="9" t="s">
        <v>116</v>
      </c>
      <c r="C47" s="10">
        <v>43278</v>
      </c>
      <c r="D47" s="11">
        <v>136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187</v>
      </c>
      <c r="J47" s="12" t="s">
        <v>188</v>
      </c>
      <c r="K47" s="13" t="s">
        <v>40</v>
      </c>
      <c r="L47" s="11" t="str">
        <f>"000063"</f>
        <v>000063</v>
      </c>
      <c r="M47" s="10">
        <v>42576</v>
      </c>
      <c r="N47" s="11" t="str">
        <f>"000115"</f>
        <v>000115</v>
      </c>
      <c r="O47" s="10">
        <v>42642</v>
      </c>
      <c r="P47" s="11" t="str">
        <f>"000601"</f>
        <v>000601</v>
      </c>
      <c r="Q47" s="10">
        <v>42671</v>
      </c>
      <c r="R47" s="11">
        <v>16</v>
      </c>
      <c r="S47" s="11" t="str">
        <f>"002947"</f>
        <v>002947</v>
      </c>
      <c r="T47" s="10">
        <v>43276</v>
      </c>
      <c r="U47" s="14">
        <v>20.976600000000001</v>
      </c>
      <c r="V47" s="14">
        <v>2.6639900000000001</v>
      </c>
      <c r="W47" s="14">
        <v>18.312609999999999</v>
      </c>
      <c r="X47" s="11">
        <v>103</v>
      </c>
      <c r="Y47" s="10">
        <v>43278</v>
      </c>
      <c r="Z47" s="11">
        <v>9945533990</v>
      </c>
      <c r="AA47" s="12" t="s">
        <v>186</v>
      </c>
      <c r="AB47" s="11" t="s">
        <v>119</v>
      </c>
      <c r="AC47" s="12" t="s">
        <v>120</v>
      </c>
      <c r="AD47" s="11" t="s">
        <v>44</v>
      </c>
      <c r="AE47" s="12" t="s">
        <v>45</v>
      </c>
      <c r="AF47" s="14">
        <v>0.20976600000000001</v>
      </c>
      <c r="AG47" s="11" t="s">
        <v>46</v>
      </c>
    </row>
    <row r="48" spans="1:33" x14ac:dyDescent="0.2">
      <c r="A48" s="8">
        <v>2737</v>
      </c>
      <c r="B48" s="9" t="s">
        <v>116</v>
      </c>
      <c r="C48" s="10">
        <v>43278</v>
      </c>
      <c r="D48" s="11">
        <v>136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189</v>
      </c>
      <c r="J48" s="12" t="s">
        <v>190</v>
      </c>
      <c r="K48" s="13" t="s">
        <v>40</v>
      </c>
      <c r="L48" s="11" t="str">
        <f>"000041"</f>
        <v>000041</v>
      </c>
      <c r="M48" s="10">
        <v>42576</v>
      </c>
      <c r="N48" s="11" t="str">
        <f>"000118"</f>
        <v>000118</v>
      </c>
      <c r="O48" s="10">
        <v>42642</v>
      </c>
      <c r="P48" s="11" t="str">
        <f>"000602"</f>
        <v>000602</v>
      </c>
      <c r="Q48" s="10">
        <v>42671</v>
      </c>
      <c r="R48" s="11">
        <v>16</v>
      </c>
      <c r="S48" s="11" t="str">
        <f>"002948"</f>
        <v>002948</v>
      </c>
      <c r="T48" s="10">
        <v>43276</v>
      </c>
      <c r="U48" s="14">
        <v>20.969860000000001</v>
      </c>
      <c r="V48" s="14">
        <v>2.6631300000000002</v>
      </c>
      <c r="W48" s="14">
        <v>18.306730000000002</v>
      </c>
      <c r="X48" s="11">
        <v>103</v>
      </c>
      <c r="Y48" s="10">
        <v>43278</v>
      </c>
      <c r="Z48" s="11">
        <v>9945533990</v>
      </c>
      <c r="AA48" s="12" t="s">
        <v>186</v>
      </c>
      <c r="AB48" s="11" t="s">
        <v>119</v>
      </c>
      <c r="AC48" s="12" t="s">
        <v>120</v>
      </c>
      <c r="AD48" s="11" t="s">
        <v>44</v>
      </c>
      <c r="AE48" s="12" t="s">
        <v>45</v>
      </c>
      <c r="AF48" s="14">
        <v>0.20969860000000001</v>
      </c>
      <c r="AG48" s="11" t="s">
        <v>46</v>
      </c>
    </row>
    <row r="49" spans="1:33" x14ac:dyDescent="0.2">
      <c r="A49" s="8">
        <v>2738</v>
      </c>
      <c r="B49" s="9" t="s">
        <v>116</v>
      </c>
      <c r="C49" s="10">
        <v>43278</v>
      </c>
      <c r="D49" s="11">
        <v>136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191</v>
      </c>
      <c r="J49" s="12" t="s">
        <v>192</v>
      </c>
      <c r="K49" s="13" t="s">
        <v>107</v>
      </c>
      <c r="L49" s="11" t="str">
        <f>"000040"</f>
        <v>000040</v>
      </c>
      <c r="M49" s="10">
        <v>42576</v>
      </c>
      <c r="N49" s="11" t="str">
        <f>"000119"</f>
        <v>000119</v>
      </c>
      <c r="O49" s="10">
        <v>42642</v>
      </c>
      <c r="P49" s="11" t="str">
        <f>"000603"</f>
        <v>000603</v>
      </c>
      <c r="Q49" s="10">
        <v>42671</v>
      </c>
      <c r="R49" s="11">
        <v>16</v>
      </c>
      <c r="S49" s="11" t="str">
        <f>"002949"</f>
        <v>002949</v>
      </c>
      <c r="T49" s="10">
        <v>43276</v>
      </c>
      <c r="U49" s="14">
        <v>15.74544</v>
      </c>
      <c r="V49" s="14">
        <v>1.9209099999999999</v>
      </c>
      <c r="W49" s="14">
        <v>13.824529999999999</v>
      </c>
      <c r="X49" s="11">
        <v>103</v>
      </c>
      <c r="Y49" s="10">
        <v>43278</v>
      </c>
      <c r="Z49" s="11">
        <v>9945533990</v>
      </c>
      <c r="AA49" s="12" t="s">
        <v>186</v>
      </c>
      <c r="AB49" s="11" t="s">
        <v>119</v>
      </c>
      <c r="AC49" s="12" t="s">
        <v>120</v>
      </c>
      <c r="AD49" s="11" t="s">
        <v>44</v>
      </c>
      <c r="AE49" s="12" t="s">
        <v>45</v>
      </c>
      <c r="AF49" s="14">
        <v>0.15745439999999999</v>
      </c>
      <c r="AG49" s="11" t="s">
        <v>46</v>
      </c>
    </row>
    <row r="50" spans="1:33" x14ac:dyDescent="0.2">
      <c r="A50" s="8">
        <v>2739</v>
      </c>
      <c r="B50" s="9" t="s">
        <v>116</v>
      </c>
      <c r="C50" s="10">
        <v>43278</v>
      </c>
      <c r="D50" s="11">
        <v>136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193</v>
      </c>
      <c r="J50" s="12" t="s">
        <v>194</v>
      </c>
      <c r="K50" s="13" t="s">
        <v>107</v>
      </c>
      <c r="L50" s="11" t="str">
        <f>"000033"</f>
        <v>000033</v>
      </c>
      <c r="M50" s="10">
        <v>42576</v>
      </c>
      <c r="N50" s="11" t="str">
        <f>"000199"</f>
        <v>000199</v>
      </c>
      <c r="O50" s="10">
        <v>42642</v>
      </c>
      <c r="P50" s="11" t="str">
        <f>"000605"</f>
        <v>000605</v>
      </c>
      <c r="Q50" s="10">
        <v>42671</v>
      </c>
      <c r="R50" s="11">
        <v>16</v>
      </c>
      <c r="S50" s="11" t="str">
        <f>"002950"</f>
        <v>002950</v>
      </c>
      <c r="T50" s="10">
        <v>43276</v>
      </c>
      <c r="U50" s="14">
        <v>20.957080000000001</v>
      </c>
      <c r="V50" s="14">
        <v>2.7894000000000001</v>
      </c>
      <c r="W50" s="14">
        <v>18.167680000000001</v>
      </c>
      <c r="X50" s="11">
        <v>103</v>
      </c>
      <c r="Y50" s="10">
        <v>43278</v>
      </c>
      <c r="Z50" s="11">
        <v>9945533990</v>
      </c>
      <c r="AA50" s="12" t="s">
        <v>53</v>
      </c>
      <c r="AB50" s="11" t="s">
        <v>167</v>
      </c>
      <c r="AC50" s="12" t="s">
        <v>168</v>
      </c>
      <c r="AD50" s="11" t="s">
        <v>44</v>
      </c>
      <c r="AE50" s="12" t="s">
        <v>45</v>
      </c>
      <c r="AF50" s="14">
        <v>0.2095708</v>
      </c>
      <c r="AG50" s="11" t="s">
        <v>46</v>
      </c>
    </row>
    <row r="51" spans="1:33" x14ac:dyDescent="0.2">
      <c r="A51" s="8">
        <v>2740</v>
      </c>
      <c r="B51" s="9" t="s">
        <v>116</v>
      </c>
      <c r="C51" s="10">
        <v>43278</v>
      </c>
      <c r="D51" s="11">
        <v>136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195</v>
      </c>
      <c r="J51" s="12" t="s">
        <v>196</v>
      </c>
      <c r="K51" s="13" t="s">
        <v>107</v>
      </c>
      <c r="L51" s="11" t="str">
        <f>"000028"</f>
        <v>000028</v>
      </c>
      <c r="M51" s="10">
        <v>42576</v>
      </c>
      <c r="N51" s="11" t="str">
        <f>"000122"</f>
        <v>000122</v>
      </c>
      <c r="O51" s="10">
        <v>42642</v>
      </c>
      <c r="P51" s="11" t="str">
        <f>"000586"</f>
        <v>000586</v>
      </c>
      <c r="Q51" s="10">
        <v>42671</v>
      </c>
      <c r="R51" s="11">
        <v>16</v>
      </c>
      <c r="S51" s="11" t="str">
        <f>"002988"</f>
        <v>002988</v>
      </c>
      <c r="T51" s="10">
        <v>43277</v>
      </c>
      <c r="U51" s="14">
        <v>20.961089999999999</v>
      </c>
      <c r="V51" s="14">
        <v>2.7900100000000001</v>
      </c>
      <c r="W51" s="14">
        <v>18.17108</v>
      </c>
      <c r="X51" s="11">
        <v>103</v>
      </c>
      <c r="Y51" s="10">
        <v>43278</v>
      </c>
      <c r="Z51" s="11">
        <v>9945533990</v>
      </c>
      <c r="AA51" s="12" t="s">
        <v>181</v>
      </c>
      <c r="AB51" s="11" t="s">
        <v>167</v>
      </c>
      <c r="AC51" s="12" t="s">
        <v>168</v>
      </c>
      <c r="AD51" s="11" t="s">
        <v>44</v>
      </c>
      <c r="AE51" s="12" t="s">
        <v>45</v>
      </c>
      <c r="AF51" s="14">
        <v>0.20961089999999999</v>
      </c>
      <c r="AG51" s="11" t="s">
        <v>46</v>
      </c>
    </row>
    <row r="52" spans="1:33" x14ac:dyDescent="0.2">
      <c r="A52" s="8">
        <v>3325</v>
      </c>
      <c r="B52" s="9" t="s">
        <v>197</v>
      </c>
      <c r="C52" s="10">
        <v>43297</v>
      </c>
      <c r="D52" s="11">
        <v>136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198</v>
      </c>
      <c r="J52" s="12" t="s">
        <v>199</v>
      </c>
      <c r="K52" s="13" t="s">
        <v>52</v>
      </c>
      <c r="L52" s="11" t="str">
        <f>"000079"</f>
        <v>000079</v>
      </c>
      <c r="M52" s="10">
        <v>42704</v>
      </c>
      <c r="N52" s="11" t="str">
        <f>"000106"</f>
        <v>000106</v>
      </c>
      <c r="O52" s="10">
        <v>42734</v>
      </c>
      <c r="P52" s="11" t="str">
        <f>"000646"</f>
        <v>000646</v>
      </c>
      <c r="Q52" s="10">
        <v>42734</v>
      </c>
      <c r="R52" s="11">
        <v>17</v>
      </c>
      <c r="S52" s="11" t="str">
        <f>"003686"</f>
        <v>003686</v>
      </c>
      <c r="T52" s="10">
        <v>43293</v>
      </c>
      <c r="U52" s="14">
        <v>10.495939999999999</v>
      </c>
      <c r="V52" s="14">
        <v>1.33057</v>
      </c>
      <c r="W52" s="14">
        <v>9.1653699999999994</v>
      </c>
      <c r="X52" s="11">
        <v>125</v>
      </c>
      <c r="Y52" s="10">
        <v>43297</v>
      </c>
      <c r="Z52" s="11">
        <v>9945533990</v>
      </c>
      <c r="AA52" s="12" t="s">
        <v>200</v>
      </c>
      <c r="AB52" s="11" t="s">
        <v>167</v>
      </c>
      <c r="AC52" s="12" t="s">
        <v>168</v>
      </c>
      <c r="AD52" s="11" t="s">
        <v>44</v>
      </c>
      <c r="AE52" s="12" t="s">
        <v>45</v>
      </c>
      <c r="AF52" s="14">
        <v>0.10495939999999999</v>
      </c>
      <c r="AG52" s="11" t="s">
        <v>46</v>
      </c>
    </row>
    <row r="53" spans="1:33" x14ac:dyDescent="0.2">
      <c r="A53" s="8">
        <v>3326</v>
      </c>
      <c r="B53" s="9" t="s">
        <v>197</v>
      </c>
      <c r="C53" s="10">
        <v>43297</v>
      </c>
      <c r="D53" s="11">
        <v>136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201</v>
      </c>
      <c r="J53" s="12" t="s">
        <v>202</v>
      </c>
      <c r="K53" s="13" t="s">
        <v>52</v>
      </c>
      <c r="L53" s="11" t="str">
        <f>"000089"</f>
        <v>000089</v>
      </c>
      <c r="M53" s="10">
        <v>42703</v>
      </c>
      <c r="N53" s="11" t="str">
        <f>"000099"</f>
        <v>000099</v>
      </c>
      <c r="O53" s="10">
        <v>42734</v>
      </c>
      <c r="P53" s="11" t="str">
        <f>"000645"</f>
        <v>000645</v>
      </c>
      <c r="Q53" s="10">
        <v>42734</v>
      </c>
      <c r="R53" s="11">
        <v>17</v>
      </c>
      <c r="S53" s="11" t="str">
        <f>"003689"</f>
        <v>003689</v>
      </c>
      <c r="T53" s="10">
        <v>43293</v>
      </c>
      <c r="U53" s="14">
        <v>20.994399999999999</v>
      </c>
      <c r="V53" s="14">
        <v>2.7651699999999999</v>
      </c>
      <c r="W53" s="14">
        <v>18.229230000000001</v>
      </c>
      <c r="X53" s="11">
        <v>125</v>
      </c>
      <c r="Y53" s="10">
        <v>43297</v>
      </c>
      <c r="Z53" s="11">
        <v>9945533990</v>
      </c>
      <c r="AA53" s="12" t="s">
        <v>203</v>
      </c>
      <c r="AB53" s="11" t="s">
        <v>167</v>
      </c>
      <c r="AC53" s="12" t="s">
        <v>168</v>
      </c>
      <c r="AD53" s="11" t="s">
        <v>44</v>
      </c>
      <c r="AE53" s="12" t="s">
        <v>45</v>
      </c>
      <c r="AF53" s="14">
        <v>0.20994399999999999</v>
      </c>
      <c r="AG53" s="11" t="s">
        <v>46</v>
      </c>
    </row>
    <row r="54" spans="1:33" x14ac:dyDescent="0.2">
      <c r="A54" s="8">
        <v>3327</v>
      </c>
      <c r="B54" s="9" t="s">
        <v>197</v>
      </c>
      <c r="C54" s="10">
        <v>43297</v>
      </c>
      <c r="D54" s="11">
        <v>136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204</v>
      </c>
      <c r="J54" s="12" t="s">
        <v>205</v>
      </c>
      <c r="K54" s="13" t="s">
        <v>52</v>
      </c>
      <c r="L54" s="11" t="str">
        <f>"000085"</f>
        <v>000085</v>
      </c>
      <c r="M54" s="10">
        <v>42703</v>
      </c>
      <c r="N54" s="11" t="str">
        <f>"000103"</f>
        <v>000103</v>
      </c>
      <c r="O54" s="10">
        <v>42734</v>
      </c>
      <c r="P54" s="11" t="str">
        <f>"000638"</f>
        <v>000638</v>
      </c>
      <c r="Q54" s="10">
        <v>42734</v>
      </c>
      <c r="R54" s="11">
        <v>17</v>
      </c>
      <c r="S54" s="11" t="str">
        <f>"003693"</f>
        <v>003693</v>
      </c>
      <c r="T54" s="10">
        <v>43293</v>
      </c>
      <c r="U54" s="14">
        <v>20.465769999999999</v>
      </c>
      <c r="V54" s="14">
        <v>2.6958000000000002</v>
      </c>
      <c r="W54" s="14">
        <v>17.769970000000001</v>
      </c>
      <c r="X54" s="11">
        <v>125</v>
      </c>
      <c r="Y54" s="10">
        <v>43297</v>
      </c>
      <c r="Z54" s="11">
        <v>9945533990</v>
      </c>
      <c r="AA54" s="12" t="s">
        <v>186</v>
      </c>
      <c r="AB54" s="11" t="s">
        <v>167</v>
      </c>
      <c r="AC54" s="12" t="s">
        <v>168</v>
      </c>
      <c r="AD54" s="11" t="s">
        <v>44</v>
      </c>
      <c r="AE54" s="12" t="s">
        <v>45</v>
      </c>
      <c r="AF54" s="14">
        <v>0.2046577</v>
      </c>
      <c r="AG54" s="11" t="s">
        <v>46</v>
      </c>
    </row>
    <row r="55" spans="1:33" x14ac:dyDescent="0.2">
      <c r="A55" s="8">
        <v>3328</v>
      </c>
      <c r="B55" s="9" t="s">
        <v>197</v>
      </c>
      <c r="C55" s="10">
        <v>43297</v>
      </c>
      <c r="D55" s="11">
        <v>136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206</v>
      </c>
      <c r="J55" s="12" t="s">
        <v>207</v>
      </c>
      <c r="K55" s="13" t="s">
        <v>83</v>
      </c>
      <c r="L55" s="11" t="str">
        <f>"000112"</f>
        <v>000112</v>
      </c>
      <c r="M55" s="10">
        <v>42703</v>
      </c>
      <c r="N55" s="11" t="str">
        <f>"000251"</f>
        <v>000251</v>
      </c>
      <c r="O55" s="10">
        <v>42734</v>
      </c>
      <c r="P55" s="11" t="str">
        <f>"000640"</f>
        <v>000640</v>
      </c>
      <c r="Q55" s="10">
        <v>42734</v>
      </c>
      <c r="R55" s="11">
        <v>17</v>
      </c>
      <c r="S55" s="11" t="str">
        <f>"003694"</f>
        <v>003694</v>
      </c>
      <c r="T55" s="10">
        <v>43293</v>
      </c>
      <c r="U55" s="14">
        <v>10.496829999999999</v>
      </c>
      <c r="V55" s="14">
        <v>1.3257000000000001</v>
      </c>
      <c r="W55" s="14">
        <v>9.1711299999999998</v>
      </c>
      <c r="X55" s="11">
        <v>125</v>
      </c>
      <c r="Y55" s="10">
        <v>43297</v>
      </c>
      <c r="Z55" s="11">
        <v>9945533990</v>
      </c>
      <c r="AA55" s="12" t="s">
        <v>200</v>
      </c>
      <c r="AB55" s="11" t="s">
        <v>167</v>
      </c>
      <c r="AC55" s="12" t="s">
        <v>168</v>
      </c>
      <c r="AD55" s="11" t="s">
        <v>44</v>
      </c>
      <c r="AE55" s="12" t="s">
        <v>45</v>
      </c>
      <c r="AF55" s="14">
        <v>0.10496829999999999</v>
      </c>
      <c r="AG55" s="11" t="s">
        <v>46</v>
      </c>
    </row>
    <row r="56" spans="1:33" x14ac:dyDescent="0.2">
      <c r="A56" s="8">
        <v>3329</v>
      </c>
      <c r="B56" s="9" t="s">
        <v>197</v>
      </c>
      <c r="C56" s="10">
        <v>43297</v>
      </c>
      <c r="D56" s="11">
        <v>136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208</v>
      </c>
      <c r="J56" s="12" t="s">
        <v>209</v>
      </c>
      <c r="K56" s="13" t="s">
        <v>83</v>
      </c>
      <c r="L56" s="11" t="str">
        <f>"000077"</f>
        <v>000077</v>
      </c>
      <c r="M56" s="10">
        <v>42704</v>
      </c>
      <c r="N56" s="11" t="str">
        <f>"000105"</f>
        <v>000105</v>
      </c>
      <c r="O56" s="10">
        <v>42734</v>
      </c>
      <c r="P56" s="11" t="str">
        <f>"000643"</f>
        <v>000643</v>
      </c>
      <c r="Q56" s="10">
        <v>42734</v>
      </c>
      <c r="R56" s="11">
        <v>17</v>
      </c>
      <c r="S56" s="11" t="str">
        <f>"003695"</f>
        <v>003695</v>
      </c>
      <c r="T56" s="10">
        <v>43293</v>
      </c>
      <c r="U56" s="14">
        <v>20.98695</v>
      </c>
      <c r="V56" s="14">
        <v>2.76322</v>
      </c>
      <c r="W56" s="14">
        <v>18.22373</v>
      </c>
      <c r="X56" s="11">
        <v>125</v>
      </c>
      <c r="Y56" s="10">
        <v>43297</v>
      </c>
      <c r="Z56" s="11">
        <v>9945533990</v>
      </c>
      <c r="AA56" s="12" t="s">
        <v>200</v>
      </c>
      <c r="AB56" s="11" t="s">
        <v>167</v>
      </c>
      <c r="AC56" s="12" t="s">
        <v>168</v>
      </c>
      <c r="AD56" s="11" t="s">
        <v>44</v>
      </c>
      <c r="AE56" s="12" t="s">
        <v>45</v>
      </c>
      <c r="AF56" s="14">
        <v>0.20986950000000001</v>
      </c>
      <c r="AG56" s="11" t="s">
        <v>46</v>
      </c>
    </row>
    <row r="57" spans="1:33" x14ac:dyDescent="0.2">
      <c r="A57" s="8">
        <v>3330</v>
      </c>
      <c r="B57" s="9" t="s">
        <v>197</v>
      </c>
      <c r="C57" s="10">
        <v>43297</v>
      </c>
      <c r="D57" s="11">
        <v>136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210</v>
      </c>
      <c r="J57" s="12" t="s">
        <v>211</v>
      </c>
      <c r="K57" s="13" t="s">
        <v>83</v>
      </c>
      <c r="L57" s="11" t="str">
        <f>"000078"</f>
        <v>000078</v>
      </c>
      <c r="M57" s="10">
        <v>42703</v>
      </c>
      <c r="N57" s="11" t="str">
        <f>"000107"</f>
        <v>000107</v>
      </c>
      <c r="O57" s="10">
        <v>42734</v>
      </c>
      <c r="P57" s="11" t="str">
        <f>"000642"</f>
        <v>000642</v>
      </c>
      <c r="Q57" s="10">
        <v>42734</v>
      </c>
      <c r="R57" s="11">
        <v>17</v>
      </c>
      <c r="S57" s="11" t="str">
        <f>"003696"</f>
        <v>003696</v>
      </c>
      <c r="T57" s="10">
        <v>43293</v>
      </c>
      <c r="U57" s="14">
        <v>20.982900000000001</v>
      </c>
      <c r="V57" s="14">
        <v>2.7627000000000002</v>
      </c>
      <c r="W57" s="14">
        <v>18.220199999999998</v>
      </c>
      <c r="X57" s="11">
        <v>125</v>
      </c>
      <c r="Y57" s="10">
        <v>43297</v>
      </c>
      <c r="Z57" s="11">
        <v>9945533990</v>
      </c>
      <c r="AA57" s="12" t="s">
        <v>200</v>
      </c>
      <c r="AB57" s="11" t="s">
        <v>167</v>
      </c>
      <c r="AC57" s="12" t="s">
        <v>168</v>
      </c>
      <c r="AD57" s="11" t="s">
        <v>44</v>
      </c>
      <c r="AE57" s="12" t="s">
        <v>45</v>
      </c>
      <c r="AF57" s="14">
        <v>0.20982900000000002</v>
      </c>
      <c r="AG57" s="11" t="s">
        <v>46</v>
      </c>
    </row>
    <row r="58" spans="1:33" x14ac:dyDescent="0.2">
      <c r="A58" s="8">
        <v>3331</v>
      </c>
      <c r="B58" s="9" t="s">
        <v>197</v>
      </c>
      <c r="C58" s="10">
        <v>43297</v>
      </c>
      <c r="D58" s="11">
        <v>136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212</v>
      </c>
      <c r="J58" s="12" t="s">
        <v>213</v>
      </c>
      <c r="K58" s="13" t="s">
        <v>52</v>
      </c>
      <c r="L58" s="11" t="str">
        <f>"000083"</f>
        <v>000083</v>
      </c>
      <c r="M58" s="10">
        <v>42704</v>
      </c>
      <c r="N58" s="11" t="str">
        <f>"000097"</f>
        <v>000097</v>
      </c>
      <c r="O58" s="10">
        <v>42734</v>
      </c>
      <c r="P58" s="11" t="str">
        <f>"000644"</f>
        <v>000644</v>
      </c>
      <c r="Q58" s="10">
        <v>42734</v>
      </c>
      <c r="R58" s="11">
        <v>17</v>
      </c>
      <c r="S58" s="11" t="str">
        <f>"003697"</f>
        <v>003697</v>
      </c>
      <c r="T58" s="10">
        <v>43293</v>
      </c>
      <c r="U58" s="14">
        <v>20.991589999999999</v>
      </c>
      <c r="V58" s="14">
        <v>2.7608199999999998</v>
      </c>
      <c r="W58" s="14">
        <v>18.23077</v>
      </c>
      <c r="X58" s="11">
        <v>125</v>
      </c>
      <c r="Y58" s="10">
        <v>43297</v>
      </c>
      <c r="Z58" s="11">
        <v>9945533990</v>
      </c>
      <c r="AA58" s="12" t="s">
        <v>186</v>
      </c>
      <c r="AB58" s="11" t="s">
        <v>167</v>
      </c>
      <c r="AC58" s="12" t="s">
        <v>168</v>
      </c>
      <c r="AD58" s="11" t="s">
        <v>44</v>
      </c>
      <c r="AE58" s="12" t="s">
        <v>45</v>
      </c>
      <c r="AF58" s="14">
        <v>0.20991589999999999</v>
      </c>
      <c r="AG58" s="11" t="s">
        <v>46</v>
      </c>
    </row>
    <row r="59" spans="1:33" x14ac:dyDescent="0.2">
      <c r="A59" s="8">
        <v>3383</v>
      </c>
      <c r="B59" s="9" t="s">
        <v>197</v>
      </c>
      <c r="C59" s="10">
        <v>43298</v>
      </c>
      <c r="D59" s="11">
        <v>136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214</v>
      </c>
      <c r="J59" s="12" t="s">
        <v>215</v>
      </c>
      <c r="K59" s="13" t="s">
        <v>40</v>
      </c>
      <c r="L59" s="11" t="str">
        <f>"000105"</f>
        <v>000105</v>
      </c>
      <c r="M59" s="10">
        <v>43249</v>
      </c>
      <c r="N59" s="11" t="str">
        <f>"000043"</f>
        <v>000043</v>
      </c>
      <c r="O59" s="10">
        <v>43250</v>
      </c>
      <c r="P59" s="11" t="str">
        <f>"000111"</f>
        <v>000111</v>
      </c>
      <c r="Q59" s="10">
        <v>43250</v>
      </c>
      <c r="R59" s="11">
        <v>18</v>
      </c>
      <c r="S59" s="11" t="str">
        <f>"003329"</f>
        <v>003329</v>
      </c>
      <c r="T59" s="10">
        <v>43286</v>
      </c>
      <c r="U59" s="14">
        <v>26.236550000000001</v>
      </c>
      <c r="V59" s="14">
        <v>2.3087900000000001</v>
      </c>
      <c r="W59" s="14">
        <v>23.927759999999999</v>
      </c>
      <c r="X59" s="11">
        <v>126</v>
      </c>
      <c r="Y59" s="10">
        <v>43298</v>
      </c>
      <c r="Z59" s="11">
        <v>9945533990</v>
      </c>
      <c r="AA59" s="12" t="s">
        <v>53</v>
      </c>
      <c r="AB59" s="11" t="s">
        <v>125</v>
      </c>
      <c r="AC59" s="12" t="s">
        <v>126</v>
      </c>
      <c r="AD59" s="11" t="s">
        <v>44</v>
      </c>
      <c r="AE59" s="12" t="s">
        <v>45</v>
      </c>
      <c r="AF59" s="14">
        <v>0.26236550000000003</v>
      </c>
      <c r="AG59" s="11" t="s">
        <v>86</v>
      </c>
    </row>
    <row r="60" spans="1:33" x14ac:dyDescent="0.2">
      <c r="A60" s="8">
        <v>3684</v>
      </c>
      <c r="B60" s="9" t="s">
        <v>197</v>
      </c>
      <c r="C60" s="10">
        <v>43300</v>
      </c>
      <c r="D60" s="11">
        <v>136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216</v>
      </c>
      <c r="J60" s="12" t="s">
        <v>217</v>
      </c>
      <c r="K60" s="13" t="s">
        <v>52</v>
      </c>
      <c r="L60" s="11" t="str">
        <f>"000141"</f>
        <v>000141</v>
      </c>
      <c r="M60" s="10">
        <v>43280</v>
      </c>
      <c r="N60" s="11" t="str">
        <f>"000069"</f>
        <v>000069</v>
      </c>
      <c r="O60" s="10">
        <v>43281</v>
      </c>
      <c r="P60" s="11" t="str">
        <f>"000140"</f>
        <v>000140</v>
      </c>
      <c r="Q60" s="10">
        <v>43281</v>
      </c>
      <c r="R60" s="11">
        <v>18</v>
      </c>
      <c r="S60" s="11" t="str">
        <f>"003782"</f>
        <v>003782</v>
      </c>
      <c r="T60" s="10">
        <v>43294</v>
      </c>
      <c r="U60" s="14">
        <v>15.743220000000001</v>
      </c>
      <c r="V60" s="14">
        <v>1.21221</v>
      </c>
      <c r="W60" s="14">
        <v>14.53101</v>
      </c>
      <c r="X60" s="11">
        <v>133</v>
      </c>
      <c r="Y60" s="10">
        <v>43300</v>
      </c>
      <c r="Z60" s="11">
        <v>9945533990</v>
      </c>
      <c r="AA60" s="12" t="s">
        <v>218</v>
      </c>
      <c r="AB60" s="11" t="s">
        <v>110</v>
      </c>
      <c r="AC60" s="12" t="s">
        <v>111</v>
      </c>
      <c r="AD60" s="11" t="s">
        <v>44</v>
      </c>
      <c r="AE60" s="12" t="s">
        <v>45</v>
      </c>
      <c r="AF60" s="14">
        <v>0.15743220000000002</v>
      </c>
      <c r="AG60" s="11" t="s">
        <v>86</v>
      </c>
    </row>
    <row r="61" spans="1:33" x14ac:dyDescent="0.2">
      <c r="A61" s="8">
        <v>4308</v>
      </c>
      <c r="B61" s="9" t="s">
        <v>219</v>
      </c>
      <c r="C61" s="10">
        <v>43315</v>
      </c>
      <c r="D61" s="11">
        <v>136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220</v>
      </c>
      <c r="J61" s="12" t="s">
        <v>221</v>
      </c>
      <c r="K61" s="13" t="s">
        <v>52</v>
      </c>
      <c r="L61" s="11" t="str">
        <f>"000126"</f>
        <v>000126</v>
      </c>
      <c r="M61" s="10">
        <v>42703</v>
      </c>
      <c r="N61" s="11" t="str">
        <f>"000111"</f>
        <v>000111</v>
      </c>
      <c r="O61" s="10">
        <v>42765</v>
      </c>
      <c r="P61" s="11" t="str">
        <f>"000682"</f>
        <v>000682</v>
      </c>
      <c r="Q61" s="10">
        <v>42765</v>
      </c>
      <c r="R61" s="11">
        <v>17</v>
      </c>
      <c r="S61" s="11" t="str">
        <f>"004494"</f>
        <v>004494</v>
      </c>
      <c r="T61" s="10">
        <v>43308</v>
      </c>
      <c r="U61" s="14">
        <v>10.49516</v>
      </c>
      <c r="V61" s="14">
        <v>1.33165</v>
      </c>
      <c r="W61" s="14">
        <v>9.1635100000000005</v>
      </c>
      <c r="X61" s="11">
        <v>152</v>
      </c>
      <c r="Y61" s="10">
        <v>43315</v>
      </c>
      <c r="Z61" s="11">
        <v>9945533990</v>
      </c>
      <c r="AA61" s="12" t="s">
        <v>200</v>
      </c>
      <c r="AB61" s="11" t="s">
        <v>167</v>
      </c>
      <c r="AC61" s="12" t="s">
        <v>168</v>
      </c>
      <c r="AD61" s="11" t="s">
        <v>44</v>
      </c>
      <c r="AE61" s="12" t="s">
        <v>45</v>
      </c>
      <c r="AF61" s="14">
        <v>0.10495160000000001</v>
      </c>
      <c r="AG61" s="11" t="s">
        <v>46</v>
      </c>
    </row>
    <row r="62" spans="1:33" x14ac:dyDescent="0.2">
      <c r="A62" s="8">
        <v>4309</v>
      </c>
      <c r="B62" s="9" t="s">
        <v>219</v>
      </c>
      <c r="C62" s="10">
        <v>43315</v>
      </c>
      <c r="D62" s="11">
        <v>136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222</v>
      </c>
      <c r="J62" s="12" t="s">
        <v>223</v>
      </c>
      <c r="K62" s="13" t="s">
        <v>52</v>
      </c>
      <c r="L62" s="11" t="str">
        <f>"000100"</f>
        <v>000100</v>
      </c>
      <c r="M62" s="10">
        <v>42704</v>
      </c>
      <c r="N62" s="11" t="str">
        <f>"000129"</f>
        <v>000129</v>
      </c>
      <c r="O62" s="10">
        <v>42765</v>
      </c>
      <c r="P62" s="11" t="str">
        <f>"000684"</f>
        <v>000684</v>
      </c>
      <c r="Q62" s="10">
        <v>42765</v>
      </c>
      <c r="R62" s="11">
        <v>17</v>
      </c>
      <c r="S62" s="11" t="str">
        <f>"004495"</f>
        <v>004495</v>
      </c>
      <c r="T62" s="10">
        <v>43308</v>
      </c>
      <c r="U62" s="14">
        <v>20.468820000000001</v>
      </c>
      <c r="V62" s="14">
        <v>2.6966600000000001</v>
      </c>
      <c r="W62" s="14">
        <v>17.77216</v>
      </c>
      <c r="X62" s="11">
        <v>152</v>
      </c>
      <c r="Y62" s="10">
        <v>43315</v>
      </c>
      <c r="Z62" s="11">
        <v>9945533990</v>
      </c>
      <c r="AA62" s="12" t="s">
        <v>224</v>
      </c>
      <c r="AB62" s="11" t="s">
        <v>167</v>
      </c>
      <c r="AC62" s="12" t="s">
        <v>168</v>
      </c>
      <c r="AD62" s="11" t="s">
        <v>44</v>
      </c>
      <c r="AE62" s="12" t="s">
        <v>45</v>
      </c>
      <c r="AF62" s="14">
        <v>0.20468820000000001</v>
      </c>
      <c r="AG62" s="11" t="s">
        <v>46</v>
      </c>
    </row>
    <row r="63" spans="1:33" x14ac:dyDescent="0.2">
      <c r="A63" s="8">
        <v>4310</v>
      </c>
      <c r="B63" s="9" t="s">
        <v>219</v>
      </c>
      <c r="C63" s="10">
        <v>43315</v>
      </c>
      <c r="D63" s="11">
        <v>136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225</v>
      </c>
      <c r="J63" s="12" t="s">
        <v>226</v>
      </c>
      <c r="K63" s="13" t="s">
        <v>83</v>
      </c>
      <c r="L63" s="11" t="str">
        <f>"000097"</f>
        <v>000097</v>
      </c>
      <c r="M63" s="10">
        <v>42704</v>
      </c>
      <c r="N63" s="11" t="str">
        <f>"000098"</f>
        <v>000098</v>
      </c>
      <c r="O63" s="10">
        <v>42765</v>
      </c>
      <c r="P63" s="11" t="str">
        <f>"000685"</f>
        <v>000685</v>
      </c>
      <c r="Q63" s="10">
        <v>42765</v>
      </c>
      <c r="R63" s="11">
        <v>17</v>
      </c>
      <c r="S63" s="11" t="str">
        <f>"004496"</f>
        <v>004496</v>
      </c>
      <c r="T63" s="10">
        <v>43308</v>
      </c>
      <c r="U63" s="14">
        <v>20.47109</v>
      </c>
      <c r="V63" s="14">
        <v>2.6969799999999999</v>
      </c>
      <c r="W63" s="14">
        <v>17.77411</v>
      </c>
      <c r="X63" s="11">
        <v>152</v>
      </c>
      <c r="Y63" s="10">
        <v>43315</v>
      </c>
      <c r="Z63" s="11">
        <v>9945533990</v>
      </c>
      <c r="AA63" s="12" t="s">
        <v>186</v>
      </c>
      <c r="AB63" s="11" t="s">
        <v>167</v>
      </c>
      <c r="AC63" s="12" t="s">
        <v>168</v>
      </c>
      <c r="AD63" s="11" t="s">
        <v>44</v>
      </c>
      <c r="AE63" s="12" t="s">
        <v>45</v>
      </c>
      <c r="AF63" s="14">
        <v>0.2047109</v>
      </c>
      <c r="AG63" s="11" t="s">
        <v>46</v>
      </c>
    </row>
    <row r="64" spans="1:33" x14ac:dyDescent="0.2">
      <c r="A64" s="8">
        <v>4311</v>
      </c>
      <c r="B64" s="9" t="s">
        <v>219</v>
      </c>
      <c r="C64" s="10">
        <v>43315</v>
      </c>
      <c r="D64" s="11">
        <v>136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227</v>
      </c>
      <c r="J64" s="12" t="s">
        <v>228</v>
      </c>
      <c r="K64" s="13" t="s">
        <v>52</v>
      </c>
      <c r="L64" s="11" t="str">
        <f>"000088"</f>
        <v>000088</v>
      </c>
      <c r="M64" s="10">
        <v>42703</v>
      </c>
      <c r="N64" s="11" t="str">
        <f>"000102"</f>
        <v>000102</v>
      </c>
      <c r="O64" s="10">
        <v>42765</v>
      </c>
      <c r="P64" s="11" t="str">
        <f>"000686"</f>
        <v>000686</v>
      </c>
      <c r="Q64" s="10">
        <v>42765</v>
      </c>
      <c r="R64" s="11">
        <v>17</v>
      </c>
      <c r="S64" s="11" t="str">
        <f>"004497"</f>
        <v>004497</v>
      </c>
      <c r="T64" s="10">
        <v>43308</v>
      </c>
      <c r="U64" s="14">
        <v>20.99052</v>
      </c>
      <c r="V64" s="14">
        <v>2.7653300000000001</v>
      </c>
      <c r="W64" s="14">
        <v>18.225190000000001</v>
      </c>
      <c r="X64" s="11">
        <v>152</v>
      </c>
      <c r="Y64" s="10">
        <v>43315</v>
      </c>
      <c r="Z64" s="11">
        <v>9945533990</v>
      </c>
      <c r="AA64" s="12" t="s">
        <v>186</v>
      </c>
      <c r="AB64" s="11" t="s">
        <v>167</v>
      </c>
      <c r="AC64" s="12" t="s">
        <v>168</v>
      </c>
      <c r="AD64" s="11" t="s">
        <v>44</v>
      </c>
      <c r="AE64" s="12" t="s">
        <v>45</v>
      </c>
      <c r="AF64" s="14">
        <v>0.20990520000000001</v>
      </c>
      <c r="AG64" s="11" t="s">
        <v>46</v>
      </c>
    </row>
    <row r="65" spans="1:33" x14ac:dyDescent="0.2">
      <c r="A65" s="8">
        <v>4547</v>
      </c>
      <c r="B65" s="9" t="s">
        <v>219</v>
      </c>
      <c r="C65" s="10">
        <v>43318</v>
      </c>
      <c r="D65" s="11">
        <v>136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229</v>
      </c>
      <c r="J65" s="12" t="s">
        <v>230</v>
      </c>
      <c r="K65" s="13" t="s">
        <v>107</v>
      </c>
      <c r="L65" s="11" t="str">
        <f>"000031"</f>
        <v>000031</v>
      </c>
      <c r="M65" s="10">
        <v>42943</v>
      </c>
      <c r="N65" s="11" t="str">
        <f>"000129"</f>
        <v>000129</v>
      </c>
      <c r="O65" s="10">
        <v>43187</v>
      </c>
      <c r="P65" s="11" t="str">
        <f>"000160"</f>
        <v>000160</v>
      </c>
      <c r="Q65" s="10">
        <v>43187</v>
      </c>
      <c r="R65" s="11">
        <v>16</v>
      </c>
      <c r="S65" s="11" t="str">
        <f>"004596"</f>
        <v>004596</v>
      </c>
      <c r="T65" s="10">
        <v>43313</v>
      </c>
      <c r="U65" s="14">
        <v>12.95548</v>
      </c>
      <c r="V65" s="14">
        <v>1.3084899999999999</v>
      </c>
      <c r="W65" s="14">
        <v>11.646990000000001</v>
      </c>
      <c r="X65" s="11">
        <v>157</v>
      </c>
      <c r="Y65" s="10">
        <v>43318</v>
      </c>
      <c r="Z65" s="11">
        <v>9845273024</v>
      </c>
      <c r="AA65" s="12" t="s">
        <v>231</v>
      </c>
      <c r="AB65" s="11" t="s">
        <v>232</v>
      </c>
      <c r="AC65" s="12" t="s">
        <v>233</v>
      </c>
      <c r="AD65" s="11" t="s">
        <v>234</v>
      </c>
      <c r="AE65" s="12" t="s">
        <v>235</v>
      </c>
      <c r="AF65" s="14">
        <v>0.1295548</v>
      </c>
      <c r="AG65" s="11" t="s">
        <v>46</v>
      </c>
    </row>
    <row r="66" spans="1:33" x14ac:dyDescent="0.2">
      <c r="A66" s="8">
        <v>5304</v>
      </c>
      <c r="B66" s="9" t="s">
        <v>236</v>
      </c>
      <c r="C66" s="10">
        <v>43346</v>
      </c>
      <c r="D66" s="11">
        <v>136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237</v>
      </c>
      <c r="J66" s="12" t="s">
        <v>238</v>
      </c>
      <c r="K66" s="13" t="s">
        <v>40</v>
      </c>
      <c r="L66" s="11" t="str">
        <f>"000171"</f>
        <v>000171</v>
      </c>
      <c r="M66" s="10">
        <v>41730</v>
      </c>
      <c r="N66" s="11" t="str">
        <f>"000123"</f>
        <v>000123</v>
      </c>
      <c r="O66" s="10">
        <v>42794</v>
      </c>
      <c r="P66" s="11" t="str">
        <f>"000765"</f>
        <v>000765</v>
      </c>
      <c r="Q66" s="10">
        <v>42824</v>
      </c>
      <c r="R66" s="11">
        <v>14</v>
      </c>
      <c r="S66" s="11" t="str">
        <f>"005307"</f>
        <v>005307</v>
      </c>
      <c r="T66" s="10">
        <v>43333</v>
      </c>
      <c r="U66" s="14">
        <v>20.96293</v>
      </c>
      <c r="V66" s="14">
        <v>2.6894499999999999</v>
      </c>
      <c r="W66" s="14">
        <v>18.273479999999999</v>
      </c>
      <c r="X66" s="11">
        <v>193</v>
      </c>
      <c r="Y66" s="10">
        <v>43346</v>
      </c>
      <c r="Z66" s="11">
        <v>9916950205</v>
      </c>
      <c r="AA66" s="12" t="s">
        <v>239</v>
      </c>
      <c r="AB66" s="11" t="s">
        <v>119</v>
      </c>
      <c r="AC66" s="12" t="s">
        <v>120</v>
      </c>
      <c r="AD66" s="11" t="s">
        <v>44</v>
      </c>
      <c r="AE66" s="12" t="s">
        <v>45</v>
      </c>
      <c r="AF66" s="14">
        <f t="shared" ref="AF66:AF101" si="0">U66/100</f>
        <v>0.20962929999999999</v>
      </c>
      <c r="AG66" s="11" t="s">
        <v>46</v>
      </c>
    </row>
    <row r="67" spans="1:33" x14ac:dyDescent="0.2">
      <c r="A67" s="8">
        <v>5305</v>
      </c>
      <c r="B67" s="9" t="s">
        <v>236</v>
      </c>
      <c r="C67" s="10">
        <v>43346</v>
      </c>
      <c r="D67" s="11">
        <v>136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240</v>
      </c>
      <c r="J67" s="12" t="s">
        <v>241</v>
      </c>
      <c r="K67" s="13" t="s">
        <v>52</v>
      </c>
      <c r="L67" s="11" t="str">
        <f>"000069"</f>
        <v>000069</v>
      </c>
      <c r="M67" s="10">
        <v>42703</v>
      </c>
      <c r="N67" s="11" t="str">
        <f>"000108"</f>
        <v>000108</v>
      </c>
      <c r="O67" s="10">
        <v>42765</v>
      </c>
      <c r="P67" s="11" t="str">
        <f>"000683"</f>
        <v>000683</v>
      </c>
      <c r="Q67" s="10">
        <v>42825</v>
      </c>
      <c r="R67" s="11">
        <v>17</v>
      </c>
      <c r="S67" s="11" t="str">
        <f>"005369"</f>
        <v>005369</v>
      </c>
      <c r="T67" s="10">
        <v>43335</v>
      </c>
      <c r="U67" s="14">
        <v>20.4697</v>
      </c>
      <c r="V67" s="14">
        <v>2.6967699999999999</v>
      </c>
      <c r="W67" s="14">
        <v>17.772929999999999</v>
      </c>
      <c r="X67" s="11">
        <v>193</v>
      </c>
      <c r="Y67" s="10">
        <v>43346</v>
      </c>
      <c r="Z67" s="11">
        <v>9945533990</v>
      </c>
      <c r="AA67" s="12" t="s">
        <v>186</v>
      </c>
      <c r="AB67" s="11" t="s">
        <v>167</v>
      </c>
      <c r="AC67" s="12" t="s">
        <v>168</v>
      </c>
      <c r="AD67" s="11" t="s">
        <v>44</v>
      </c>
      <c r="AE67" s="12" t="s">
        <v>45</v>
      </c>
      <c r="AF67" s="14">
        <f t="shared" si="0"/>
        <v>0.20469699999999999</v>
      </c>
      <c r="AG67" s="11" t="s">
        <v>46</v>
      </c>
    </row>
    <row r="68" spans="1:33" x14ac:dyDescent="0.2">
      <c r="A68" s="8">
        <v>5306</v>
      </c>
      <c r="B68" s="9" t="s">
        <v>236</v>
      </c>
      <c r="C68" s="10">
        <v>43346</v>
      </c>
      <c r="D68" s="11">
        <v>136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242</v>
      </c>
      <c r="J68" s="12" t="s">
        <v>243</v>
      </c>
      <c r="K68" s="13" t="s">
        <v>83</v>
      </c>
      <c r="L68" s="11" t="str">
        <f>"000360"</f>
        <v>000360</v>
      </c>
      <c r="M68" s="10">
        <v>42765</v>
      </c>
      <c r="N68" s="11" t="str">
        <f>"000764"</f>
        <v>000764</v>
      </c>
      <c r="O68" s="10">
        <v>42825</v>
      </c>
      <c r="P68" s="11" t="str">
        <f>"000764"</f>
        <v>000764</v>
      </c>
      <c r="Q68" s="10">
        <v>42825</v>
      </c>
      <c r="R68" s="11">
        <v>17</v>
      </c>
      <c r="S68" s="11" t="str">
        <f>"005451"</f>
        <v>005451</v>
      </c>
      <c r="T68" s="10">
        <v>43340</v>
      </c>
      <c r="U68" s="14">
        <v>19.998830000000002</v>
      </c>
      <c r="V68" s="14">
        <v>2.5398100000000001</v>
      </c>
      <c r="W68" s="14">
        <v>17.459019999999999</v>
      </c>
      <c r="X68" s="11">
        <v>193</v>
      </c>
      <c r="Y68" s="10">
        <v>43346</v>
      </c>
      <c r="Z68" s="11">
        <v>9945533990</v>
      </c>
      <c r="AA68" s="12" t="s">
        <v>244</v>
      </c>
      <c r="AB68" s="11" t="s">
        <v>119</v>
      </c>
      <c r="AC68" s="12" t="s">
        <v>120</v>
      </c>
      <c r="AD68" s="11" t="s">
        <v>44</v>
      </c>
      <c r="AE68" s="12" t="s">
        <v>45</v>
      </c>
      <c r="AF68" s="14">
        <f t="shared" si="0"/>
        <v>0.19998830000000001</v>
      </c>
      <c r="AG68" s="11" t="s">
        <v>46</v>
      </c>
    </row>
    <row r="69" spans="1:33" x14ac:dyDescent="0.2">
      <c r="A69" s="8">
        <v>5708</v>
      </c>
      <c r="B69" s="9" t="s">
        <v>236</v>
      </c>
      <c r="C69" s="10">
        <v>43370</v>
      </c>
      <c r="D69" s="11">
        <v>136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245</v>
      </c>
      <c r="J69" s="12" t="s">
        <v>246</v>
      </c>
      <c r="K69" s="13" t="s">
        <v>62</v>
      </c>
      <c r="L69" s="11" t="str">
        <f>"000062"</f>
        <v>000062</v>
      </c>
      <c r="M69" s="10">
        <v>43098</v>
      </c>
      <c r="N69" s="11" t="str">
        <f>"000028"</f>
        <v>000028</v>
      </c>
      <c r="O69" s="10">
        <v>43099</v>
      </c>
      <c r="P69" s="11" t="str">
        <f>"000062"</f>
        <v>000062</v>
      </c>
      <c r="Q69" s="10">
        <v>43099</v>
      </c>
      <c r="R69" s="11">
        <v>18</v>
      </c>
      <c r="S69" s="11" t="str">
        <f>"005935"</f>
        <v>005935</v>
      </c>
      <c r="T69" s="10">
        <v>43368</v>
      </c>
      <c r="U69" s="14">
        <v>20.98499</v>
      </c>
      <c r="V69" s="14">
        <v>2.3712499999999999</v>
      </c>
      <c r="W69" s="14">
        <v>18.61374</v>
      </c>
      <c r="X69" s="11">
        <v>218</v>
      </c>
      <c r="Y69" s="10">
        <v>43370</v>
      </c>
      <c r="Z69" s="11">
        <v>9448670844</v>
      </c>
      <c r="AA69" s="12" t="s">
        <v>157</v>
      </c>
      <c r="AB69" s="11" t="s">
        <v>167</v>
      </c>
      <c r="AC69" s="12" t="s">
        <v>168</v>
      </c>
      <c r="AD69" s="11" t="s">
        <v>44</v>
      </c>
      <c r="AE69" s="12" t="s">
        <v>45</v>
      </c>
      <c r="AF69" s="14">
        <f t="shared" si="0"/>
        <v>0.20984990000000001</v>
      </c>
      <c r="AG69" s="11" t="s">
        <v>46</v>
      </c>
    </row>
    <row r="70" spans="1:33" x14ac:dyDescent="0.2">
      <c r="A70" s="8">
        <v>5709</v>
      </c>
      <c r="B70" s="9" t="s">
        <v>236</v>
      </c>
      <c r="C70" s="10">
        <v>43370</v>
      </c>
      <c r="D70" s="11">
        <v>136</v>
      </c>
      <c r="E70" s="12" t="s">
        <v>34</v>
      </c>
      <c r="F70" s="12" t="s">
        <v>35</v>
      </c>
      <c r="G70" s="12" t="s">
        <v>36</v>
      </c>
      <c r="H70" s="12" t="s">
        <v>37</v>
      </c>
      <c r="I70" s="11" t="s">
        <v>247</v>
      </c>
      <c r="J70" s="12" t="s">
        <v>248</v>
      </c>
      <c r="K70" s="13" t="s">
        <v>52</v>
      </c>
      <c r="L70" s="11" t="str">
        <f>"000073"</f>
        <v>000073</v>
      </c>
      <c r="M70" s="10">
        <v>43099</v>
      </c>
      <c r="N70" s="11" t="str">
        <f>"000038"</f>
        <v>000038</v>
      </c>
      <c r="O70" s="10">
        <v>43099</v>
      </c>
      <c r="P70" s="11" t="str">
        <f>"000068"</f>
        <v>000068</v>
      </c>
      <c r="Q70" s="10">
        <v>43099</v>
      </c>
      <c r="R70" s="11">
        <v>17</v>
      </c>
      <c r="S70" s="11" t="str">
        <f>"005958"</f>
        <v>005958</v>
      </c>
      <c r="T70" s="10">
        <v>43368</v>
      </c>
      <c r="U70" s="14">
        <v>10.49499</v>
      </c>
      <c r="V70" s="14">
        <v>1.0179499999999999</v>
      </c>
      <c r="W70" s="14">
        <v>9.4770400000000006</v>
      </c>
      <c r="X70" s="11">
        <v>218</v>
      </c>
      <c r="Y70" s="10">
        <v>43370</v>
      </c>
      <c r="Z70" s="11">
        <v>9945533990</v>
      </c>
      <c r="AA70" s="12" t="s">
        <v>53</v>
      </c>
      <c r="AB70" s="11" t="s">
        <v>249</v>
      </c>
      <c r="AC70" s="12" t="s">
        <v>250</v>
      </c>
      <c r="AD70" s="11" t="s">
        <v>44</v>
      </c>
      <c r="AE70" s="12" t="s">
        <v>45</v>
      </c>
      <c r="AF70" s="14">
        <f t="shared" si="0"/>
        <v>0.1049499</v>
      </c>
      <c r="AG70" s="11" t="s">
        <v>46</v>
      </c>
    </row>
    <row r="71" spans="1:33" x14ac:dyDescent="0.2">
      <c r="A71" s="8">
        <v>5710</v>
      </c>
      <c r="B71" s="9" t="s">
        <v>236</v>
      </c>
      <c r="C71" s="10">
        <v>43370</v>
      </c>
      <c r="D71" s="11">
        <v>136</v>
      </c>
      <c r="E71" s="12" t="s">
        <v>34</v>
      </c>
      <c r="F71" s="12" t="s">
        <v>35</v>
      </c>
      <c r="G71" s="12" t="s">
        <v>36</v>
      </c>
      <c r="H71" s="12" t="s">
        <v>37</v>
      </c>
      <c r="I71" s="11" t="s">
        <v>251</v>
      </c>
      <c r="J71" s="12" t="s">
        <v>252</v>
      </c>
      <c r="K71" s="13" t="s">
        <v>52</v>
      </c>
      <c r="L71" s="11" t="str">
        <f>"000071"</f>
        <v>000071</v>
      </c>
      <c r="M71" s="10">
        <v>43099</v>
      </c>
      <c r="N71" s="11" t="str">
        <f>"000037"</f>
        <v>000037</v>
      </c>
      <c r="O71" s="10">
        <v>43099</v>
      </c>
      <c r="P71" s="11" t="str">
        <f>"000069"</f>
        <v>000069</v>
      </c>
      <c r="Q71" s="10">
        <v>43099</v>
      </c>
      <c r="R71" s="11">
        <v>17</v>
      </c>
      <c r="S71" s="11" t="str">
        <f>"005959"</f>
        <v>005959</v>
      </c>
      <c r="T71" s="10">
        <v>43368</v>
      </c>
      <c r="U71" s="14">
        <v>20.99164</v>
      </c>
      <c r="V71" s="14">
        <v>2.37202</v>
      </c>
      <c r="W71" s="14">
        <v>18.619620000000001</v>
      </c>
      <c r="X71" s="11">
        <v>218</v>
      </c>
      <c r="Y71" s="10">
        <v>43370</v>
      </c>
      <c r="Z71" s="11">
        <v>9945533990</v>
      </c>
      <c r="AA71" s="12" t="s">
        <v>53</v>
      </c>
      <c r="AB71" s="11" t="s">
        <v>253</v>
      </c>
      <c r="AC71" s="12" t="s">
        <v>254</v>
      </c>
      <c r="AD71" s="11" t="s">
        <v>44</v>
      </c>
      <c r="AE71" s="12" t="s">
        <v>45</v>
      </c>
      <c r="AF71" s="14">
        <f t="shared" si="0"/>
        <v>0.2099164</v>
      </c>
      <c r="AG71" s="11" t="s">
        <v>46</v>
      </c>
    </row>
    <row r="72" spans="1:33" x14ac:dyDescent="0.2">
      <c r="A72" s="8">
        <v>5711</v>
      </c>
      <c r="B72" s="9" t="s">
        <v>236</v>
      </c>
      <c r="C72" s="10">
        <v>43370</v>
      </c>
      <c r="D72" s="11">
        <v>136</v>
      </c>
      <c r="E72" s="12" t="s">
        <v>34</v>
      </c>
      <c r="F72" s="12" t="s">
        <v>35</v>
      </c>
      <c r="G72" s="12" t="s">
        <v>36</v>
      </c>
      <c r="H72" s="12" t="s">
        <v>37</v>
      </c>
      <c r="I72" s="11" t="s">
        <v>255</v>
      </c>
      <c r="J72" s="12" t="s">
        <v>256</v>
      </c>
      <c r="K72" s="13" t="s">
        <v>52</v>
      </c>
      <c r="L72" s="11" t="str">
        <f>"000070"</f>
        <v>000070</v>
      </c>
      <c r="M72" s="10">
        <v>43099</v>
      </c>
      <c r="N72" s="11" t="str">
        <f>"000036"</f>
        <v>000036</v>
      </c>
      <c r="O72" s="10">
        <v>43099</v>
      </c>
      <c r="P72" s="11" t="str">
        <f>"000070"</f>
        <v>000070</v>
      </c>
      <c r="Q72" s="10">
        <v>43099</v>
      </c>
      <c r="R72" s="11">
        <v>17</v>
      </c>
      <c r="S72" s="11" t="str">
        <f>"005960"</f>
        <v>005960</v>
      </c>
      <c r="T72" s="10">
        <v>43368</v>
      </c>
      <c r="U72" s="14">
        <v>20.993480000000002</v>
      </c>
      <c r="V72" s="14">
        <v>2.3722300000000001</v>
      </c>
      <c r="W72" s="14">
        <v>18.62125</v>
      </c>
      <c r="X72" s="11">
        <v>218</v>
      </c>
      <c r="Y72" s="10">
        <v>43370</v>
      </c>
      <c r="Z72" s="11">
        <v>9945533990</v>
      </c>
      <c r="AA72" s="12" t="s">
        <v>53</v>
      </c>
      <c r="AB72" s="11" t="s">
        <v>253</v>
      </c>
      <c r="AC72" s="12" t="s">
        <v>254</v>
      </c>
      <c r="AD72" s="11" t="s">
        <v>44</v>
      </c>
      <c r="AE72" s="12" t="s">
        <v>45</v>
      </c>
      <c r="AF72" s="14">
        <f t="shared" si="0"/>
        <v>0.2099348</v>
      </c>
      <c r="AG72" s="11" t="s">
        <v>46</v>
      </c>
    </row>
    <row r="73" spans="1:33" x14ac:dyDescent="0.2">
      <c r="A73" s="8">
        <v>5712</v>
      </c>
      <c r="B73" s="9" t="s">
        <v>236</v>
      </c>
      <c r="C73" s="10">
        <v>43370</v>
      </c>
      <c r="D73" s="11">
        <v>136</v>
      </c>
      <c r="E73" s="12" t="s">
        <v>34</v>
      </c>
      <c r="F73" s="12" t="s">
        <v>35</v>
      </c>
      <c r="G73" s="12" t="s">
        <v>36</v>
      </c>
      <c r="H73" s="12" t="s">
        <v>37</v>
      </c>
      <c r="I73" s="11" t="s">
        <v>257</v>
      </c>
      <c r="J73" s="12" t="s">
        <v>258</v>
      </c>
      <c r="K73" s="13" t="s">
        <v>78</v>
      </c>
      <c r="L73" s="11" t="str">
        <f>"000069"</f>
        <v>000069</v>
      </c>
      <c r="M73" s="10">
        <v>43099</v>
      </c>
      <c r="N73" s="11" t="str">
        <f>"000035"</f>
        <v>000035</v>
      </c>
      <c r="O73" s="10">
        <v>43099</v>
      </c>
      <c r="P73" s="11" t="str">
        <f>"000071"</f>
        <v>000071</v>
      </c>
      <c r="Q73" s="10">
        <v>43099</v>
      </c>
      <c r="R73" s="11">
        <v>18</v>
      </c>
      <c r="S73" s="11" t="str">
        <f>"005961"</f>
        <v>005961</v>
      </c>
      <c r="T73" s="10">
        <v>43368</v>
      </c>
      <c r="U73" s="14">
        <v>15.74089</v>
      </c>
      <c r="V73" s="14">
        <v>1.69997</v>
      </c>
      <c r="W73" s="14">
        <v>14.04092</v>
      </c>
      <c r="X73" s="11">
        <v>218</v>
      </c>
      <c r="Y73" s="10">
        <v>43370</v>
      </c>
      <c r="Z73" s="11">
        <v>9945533990</v>
      </c>
      <c r="AA73" s="12" t="s">
        <v>259</v>
      </c>
      <c r="AB73" s="11" t="s">
        <v>249</v>
      </c>
      <c r="AC73" s="12" t="s">
        <v>250</v>
      </c>
      <c r="AD73" s="11" t="s">
        <v>44</v>
      </c>
      <c r="AE73" s="12" t="s">
        <v>45</v>
      </c>
      <c r="AF73" s="14">
        <f t="shared" si="0"/>
        <v>0.15740889999999999</v>
      </c>
      <c r="AG73" s="11" t="s">
        <v>46</v>
      </c>
    </row>
    <row r="74" spans="1:33" x14ac:dyDescent="0.2">
      <c r="A74" s="8">
        <v>6201</v>
      </c>
      <c r="B74" s="9" t="s">
        <v>260</v>
      </c>
      <c r="C74" s="10">
        <v>43385</v>
      </c>
      <c r="D74" s="11">
        <v>136</v>
      </c>
      <c r="E74" s="12" t="s">
        <v>34</v>
      </c>
      <c r="F74" s="12" t="s">
        <v>35</v>
      </c>
      <c r="G74" s="12" t="s">
        <v>36</v>
      </c>
      <c r="H74" s="12" t="s">
        <v>37</v>
      </c>
      <c r="I74" s="11" t="s">
        <v>261</v>
      </c>
      <c r="J74" s="12" t="s">
        <v>262</v>
      </c>
      <c r="K74" s="13" t="s">
        <v>83</v>
      </c>
      <c r="L74" s="11" t="str">
        <f>"000174"</f>
        <v>000174</v>
      </c>
      <c r="M74" s="10">
        <v>42802</v>
      </c>
      <c r="N74" s="11" t="str">
        <f>"000078"</f>
        <v>000078</v>
      </c>
      <c r="O74" s="10">
        <v>42853</v>
      </c>
      <c r="P74" s="11" t="str">
        <f>"000078"</f>
        <v>000078</v>
      </c>
      <c r="Q74" s="10">
        <v>42853</v>
      </c>
      <c r="R74" s="11">
        <v>17</v>
      </c>
      <c r="S74" s="11" t="str">
        <f>"006050"</f>
        <v>006050</v>
      </c>
      <c r="T74" s="10">
        <v>43374</v>
      </c>
      <c r="U74" s="14">
        <v>20.94126</v>
      </c>
      <c r="V74" s="14">
        <v>1.3821099999999999</v>
      </c>
      <c r="W74" s="14">
        <v>19.559149999999999</v>
      </c>
      <c r="X74" s="11">
        <v>230</v>
      </c>
      <c r="Y74" s="10">
        <v>43385</v>
      </c>
      <c r="Z74" s="11">
        <v>9945533990</v>
      </c>
      <c r="AA74" s="12" t="s">
        <v>53</v>
      </c>
      <c r="AB74" s="11" t="s">
        <v>119</v>
      </c>
      <c r="AC74" s="12" t="s">
        <v>120</v>
      </c>
      <c r="AD74" s="11" t="s">
        <v>44</v>
      </c>
      <c r="AE74" s="12" t="s">
        <v>45</v>
      </c>
      <c r="AF74" s="14">
        <f t="shared" si="0"/>
        <v>0.2094126</v>
      </c>
      <c r="AG74" s="11" t="s">
        <v>46</v>
      </c>
    </row>
    <row r="75" spans="1:33" x14ac:dyDescent="0.2">
      <c r="A75" s="8">
        <v>6202</v>
      </c>
      <c r="B75" s="9" t="s">
        <v>260</v>
      </c>
      <c r="C75" s="10">
        <v>43385</v>
      </c>
      <c r="D75" s="11">
        <v>136</v>
      </c>
      <c r="E75" s="12" t="s">
        <v>34</v>
      </c>
      <c r="F75" s="12" t="s">
        <v>35</v>
      </c>
      <c r="G75" s="12" t="s">
        <v>36</v>
      </c>
      <c r="H75" s="12" t="s">
        <v>37</v>
      </c>
      <c r="I75" s="11" t="s">
        <v>263</v>
      </c>
      <c r="J75" s="12" t="s">
        <v>264</v>
      </c>
      <c r="K75" s="13" t="s">
        <v>265</v>
      </c>
      <c r="L75" s="11" t="str">
        <f>"000176"</f>
        <v>000176</v>
      </c>
      <c r="M75" s="10">
        <v>42802</v>
      </c>
      <c r="N75" s="11" t="str">
        <f>"000079"</f>
        <v>000079</v>
      </c>
      <c r="O75" s="10">
        <v>42853</v>
      </c>
      <c r="P75" s="11" t="str">
        <f>"000079"</f>
        <v>000079</v>
      </c>
      <c r="Q75" s="10">
        <v>42853</v>
      </c>
      <c r="R75" s="11">
        <v>17</v>
      </c>
      <c r="S75" s="11" t="str">
        <f>"006051"</f>
        <v>006051</v>
      </c>
      <c r="T75" s="10">
        <v>43374</v>
      </c>
      <c r="U75" s="14">
        <v>20.99145</v>
      </c>
      <c r="V75" s="14">
        <v>1.4064000000000001</v>
      </c>
      <c r="W75" s="14">
        <v>19.585049999999999</v>
      </c>
      <c r="X75" s="11">
        <v>230</v>
      </c>
      <c r="Y75" s="10">
        <v>43385</v>
      </c>
      <c r="Z75" s="11">
        <v>9945533990</v>
      </c>
      <c r="AA75" s="12" t="s">
        <v>53</v>
      </c>
      <c r="AB75" s="11" t="s">
        <v>119</v>
      </c>
      <c r="AC75" s="12" t="s">
        <v>120</v>
      </c>
      <c r="AD75" s="11" t="s">
        <v>44</v>
      </c>
      <c r="AE75" s="12" t="s">
        <v>45</v>
      </c>
      <c r="AF75" s="14">
        <f t="shared" si="0"/>
        <v>0.2099145</v>
      </c>
      <c r="AG75" s="11" t="s">
        <v>46</v>
      </c>
    </row>
    <row r="76" spans="1:33" x14ac:dyDescent="0.2">
      <c r="A76" s="8">
        <v>6203</v>
      </c>
      <c r="B76" s="9" t="s">
        <v>260</v>
      </c>
      <c r="C76" s="10">
        <v>43385</v>
      </c>
      <c r="D76" s="11">
        <v>136</v>
      </c>
      <c r="E76" s="12" t="s">
        <v>34</v>
      </c>
      <c r="F76" s="12" t="s">
        <v>35</v>
      </c>
      <c r="G76" s="12" t="s">
        <v>36</v>
      </c>
      <c r="H76" s="12" t="s">
        <v>37</v>
      </c>
      <c r="I76" s="11" t="s">
        <v>266</v>
      </c>
      <c r="J76" s="12" t="s">
        <v>267</v>
      </c>
      <c r="K76" s="13" t="s">
        <v>265</v>
      </c>
      <c r="L76" s="11" t="str">
        <f>"000172"</f>
        <v>000172</v>
      </c>
      <c r="M76" s="10">
        <v>42802</v>
      </c>
      <c r="N76" s="11" t="str">
        <f>"000080"</f>
        <v>000080</v>
      </c>
      <c r="O76" s="10">
        <v>42853</v>
      </c>
      <c r="P76" s="11" t="str">
        <f>"000080"</f>
        <v>000080</v>
      </c>
      <c r="Q76" s="10">
        <v>42853</v>
      </c>
      <c r="R76" s="11">
        <v>17</v>
      </c>
      <c r="S76" s="11" t="str">
        <f>"006052"</f>
        <v>006052</v>
      </c>
      <c r="T76" s="10">
        <v>43374</v>
      </c>
      <c r="U76" s="14">
        <v>15.74</v>
      </c>
      <c r="V76" s="14">
        <v>0.33054</v>
      </c>
      <c r="W76" s="14">
        <v>15.409459999999999</v>
      </c>
      <c r="X76" s="11">
        <v>230</v>
      </c>
      <c r="Y76" s="10">
        <v>43385</v>
      </c>
      <c r="Z76" s="11">
        <v>9945533990</v>
      </c>
      <c r="AA76" s="12" t="s">
        <v>53</v>
      </c>
      <c r="AB76" s="11" t="s">
        <v>119</v>
      </c>
      <c r="AC76" s="12" t="s">
        <v>120</v>
      </c>
      <c r="AD76" s="11" t="s">
        <v>44</v>
      </c>
      <c r="AE76" s="12" t="s">
        <v>45</v>
      </c>
      <c r="AF76" s="14">
        <f t="shared" si="0"/>
        <v>0.15740000000000001</v>
      </c>
      <c r="AG76" s="11" t="s">
        <v>46</v>
      </c>
    </row>
    <row r="77" spans="1:33" x14ac:dyDescent="0.2">
      <c r="A77" s="8">
        <v>6204</v>
      </c>
      <c r="B77" s="9" t="s">
        <v>260</v>
      </c>
      <c r="C77" s="10">
        <v>43385</v>
      </c>
      <c r="D77" s="11">
        <v>136</v>
      </c>
      <c r="E77" s="12" t="s">
        <v>34</v>
      </c>
      <c r="F77" s="12" t="s">
        <v>35</v>
      </c>
      <c r="G77" s="12" t="s">
        <v>36</v>
      </c>
      <c r="H77" s="12" t="s">
        <v>37</v>
      </c>
      <c r="I77" s="11" t="s">
        <v>268</v>
      </c>
      <c r="J77" s="12" t="s">
        <v>269</v>
      </c>
      <c r="K77" s="13" t="s">
        <v>265</v>
      </c>
      <c r="L77" s="11" t="str">
        <f>"000164"</f>
        <v>000164</v>
      </c>
      <c r="M77" s="10">
        <v>42802</v>
      </c>
      <c r="N77" s="11" t="str">
        <f>"000082"</f>
        <v>000082</v>
      </c>
      <c r="O77" s="10">
        <v>42853</v>
      </c>
      <c r="P77" s="11" t="str">
        <f>"000082"</f>
        <v>000082</v>
      </c>
      <c r="Q77" s="10">
        <v>42853</v>
      </c>
      <c r="R77" s="11">
        <v>17</v>
      </c>
      <c r="S77" s="11" t="str">
        <f>"006055"</f>
        <v>006055</v>
      </c>
      <c r="T77" s="10">
        <v>43374</v>
      </c>
      <c r="U77" s="14">
        <v>10.458</v>
      </c>
      <c r="V77" s="14">
        <v>0.21961</v>
      </c>
      <c r="W77" s="14">
        <v>10.238390000000001</v>
      </c>
      <c r="X77" s="11">
        <v>230</v>
      </c>
      <c r="Y77" s="10">
        <v>43385</v>
      </c>
      <c r="Z77" s="11">
        <v>9945533990</v>
      </c>
      <c r="AA77" s="12" t="s">
        <v>53</v>
      </c>
      <c r="AB77" s="11" t="s">
        <v>119</v>
      </c>
      <c r="AC77" s="12" t="s">
        <v>120</v>
      </c>
      <c r="AD77" s="11" t="s">
        <v>44</v>
      </c>
      <c r="AE77" s="12" t="s">
        <v>45</v>
      </c>
      <c r="AF77" s="14">
        <f t="shared" si="0"/>
        <v>0.10458000000000001</v>
      </c>
      <c r="AG77" s="11" t="s">
        <v>46</v>
      </c>
    </row>
    <row r="78" spans="1:33" x14ac:dyDescent="0.2">
      <c r="A78" s="8">
        <v>6205</v>
      </c>
      <c r="B78" s="9" t="s">
        <v>260</v>
      </c>
      <c r="C78" s="10">
        <v>43385</v>
      </c>
      <c r="D78" s="11">
        <v>136</v>
      </c>
      <c r="E78" s="12" t="s">
        <v>34</v>
      </c>
      <c r="F78" s="12" t="s">
        <v>35</v>
      </c>
      <c r="G78" s="12" t="s">
        <v>36</v>
      </c>
      <c r="H78" s="12" t="s">
        <v>37</v>
      </c>
      <c r="I78" s="11" t="s">
        <v>270</v>
      </c>
      <c r="J78" s="12" t="s">
        <v>271</v>
      </c>
      <c r="K78" s="13" t="s">
        <v>107</v>
      </c>
      <c r="L78" s="11" t="str">
        <f>"000415"</f>
        <v>000415</v>
      </c>
      <c r="M78" s="10">
        <v>42802</v>
      </c>
      <c r="N78" s="11" t="str">
        <f>"000499"</f>
        <v>000499</v>
      </c>
      <c r="O78" s="10">
        <v>42853</v>
      </c>
      <c r="P78" s="11" t="str">
        <f>"000087"</f>
        <v>000087</v>
      </c>
      <c r="Q78" s="10">
        <v>42853</v>
      </c>
      <c r="R78" s="11">
        <v>17</v>
      </c>
      <c r="S78" s="11" t="str">
        <f>"006057"</f>
        <v>006057</v>
      </c>
      <c r="T78" s="10">
        <v>43374</v>
      </c>
      <c r="U78" s="14">
        <v>20.973510000000001</v>
      </c>
      <c r="V78" s="14">
        <v>2.6636199999999999</v>
      </c>
      <c r="W78" s="14">
        <v>18.309889999999999</v>
      </c>
      <c r="X78" s="11">
        <v>230</v>
      </c>
      <c r="Y78" s="10">
        <v>43385</v>
      </c>
      <c r="Z78" s="11">
        <v>9945533990</v>
      </c>
      <c r="AA78" s="12" t="s">
        <v>272</v>
      </c>
      <c r="AB78" s="11" t="s">
        <v>119</v>
      </c>
      <c r="AC78" s="12" t="s">
        <v>120</v>
      </c>
      <c r="AD78" s="11" t="s">
        <v>44</v>
      </c>
      <c r="AE78" s="12" t="s">
        <v>45</v>
      </c>
      <c r="AF78" s="14">
        <f t="shared" si="0"/>
        <v>0.20973510000000001</v>
      </c>
      <c r="AG78" s="11" t="s">
        <v>46</v>
      </c>
    </row>
    <row r="79" spans="1:33" x14ac:dyDescent="0.2">
      <c r="A79" s="8">
        <v>6206</v>
      </c>
      <c r="B79" s="9" t="s">
        <v>260</v>
      </c>
      <c r="C79" s="10">
        <v>43385</v>
      </c>
      <c r="D79" s="11">
        <v>136</v>
      </c>
      <c r="E79" s="12" t="s">
        <v>34</v>
      </c>
      <c r="F79" s="12" t="s">
        <v>35</v>
      </c>
      <c r="G79" s="12" t="s">
        <v>36</v>
      </c>
      <c r="H79" s="12" t="s">
        <v>37</v>
      </c>
      <c r="I79" s="11" t="s">
        <v>273</v>
      </c>
      <c r="J79" s="12" t="s">
        <v>274</v>
      </c>
      <c r="K79" s="13" t="s">
        <v>83</v>
      </c>
      <c r="L79" s="11" t="str">
        <f>"000166"</f>
        <v>000166</v>
      </c>
      <c r="M79" s="10">
        <v>42802</v>
      </c>
      <c r="N79" s="11" t="str">
        <f>"000046"</f>
        <v>000046</v>
      </c>
      <c r="O79" s="10">
        <v>42852</v>
      </c>
      <c r="P79" s="11" t="str">
        <f>"000067"</f>
        <v>000067</v>
      </c>
      <c r="Q79" s="10">
        <v>42853</v>
      </c>
      <c r="R79" s="11">
        <v>17</v>
      </c>
      <c r="S79" s="11" t="str">
        <f>"006094"</f>
        <v>006094</v>
      </c>
      <c r="T79" s="10">
        <v>43376</v>
      </c>
      <c r="U79" s="14">
        <v>10.480359999999999</v>
      </c>
      <c r="V79" s="14">
        <v>1.23952</v>
      </c>
      <c r="W79" s="14">
        <v>9.2408400000000004</v>
      </c>
      <c r="X79" s="11">
        <v>230</v>
      </c>
      <c r="Y79" s="10">
        <v>43385</v>
      </c>
      <c r="Z79" s="11">
        <v>9448670844</v>
      </c>
      <c r="AA79" s="12" t="s">
        <v>157</v>
      </c>
      <c r="AB79" s="11" t="s">
        <v>119</v>
      </c>
      <c r="AC79" s="12" t="s">
        <v>120</v>
      </c>
      <c r="AD79" s="11" t="s">
        <v>44</v>
      </c>
      <c r="AE79" s="12" t="s">
        <v>45</v>
      </c>
      <c r="AF79" s="14">
        <f t="shared" si="0"/>
        <v>0.1048036</v>
      </c>
      <c r="AG79" s="11" t="s">
        <v>46</v>
      </c>
    </row>
    <row r="80" spans="1:33" x14ac:dyDescent="0.2">
      <c r="A80" s="8">
        <v>6594</v>
      </c>
      <c r="B80" s="9" t="s">
        <v>260</v>
      </c>
      <c r="C80" s="10">
        <v>43389</v>
      </c>
      <c r="D80" s="11">
        <v>136</v>
      </c>
      <c r="E80" s="12" t="s">
        <v>34</v>
      </c>
      <c r="F80" s="12" t="s">
        <v>35</v>
      </c>
      <c r="G80" s="12" t="s">
        <v>36</v>
      </c>
      <c r="H80" s="12" t="s">
        <v>37</v>
      </c>
      <c r="I80" s="11" t="s">
        <v>275</v>
      </c>
      <c r="J80" s="12" t="s">
        <v>276</v>
      </c>
      <c r="K80" s="13" t="s">
        <v>52</v>
      </c>
      <c r="L80" s="11" t="str">
        <f>"000143"</f>
        <v>000143</v>
      </c>
      <c r="M80" s="10">
        <v>43131</v>
      </c>
      <c r="N80" s="11" t="str">
        <f>"000060"</f>
        <v>000060</v>
      </c>
      <c r="O80" s="10">
        <v>43131</v>
      </c>
      <c r="P80" s="11" t="str">
        <f>"000139"</f>
        <v>000139</v>
      </c>
      <c r="Q80" s="10">
        <v>43131</v>
      </c>
      <c r="R80" s="11">
        <v>18</v>
      </c>
      <c r="S80" s="11" t="str">
        <f>"006480"</f>
        <v>006480</v>
      </c>
      <c r="T80" s="10">
        <v>43383</v>
      </c>
      <c r="U80" s="14">
        <v>20.998360000000002</v>
      </c>
      <c r="V80" s="14">
        <v>2.2467999999999999</v>
      </c>
      <c r="W80" s="14">
        <v>18.751560000000001</v>
      </c>
      <c r="X80" s="11">
        <v>241</v>
      </c>
      <c r="Y80" s="10">
        <v>43389</v>
      </c>
      <c r="Z80" s="11">
        <v>9945533990</v>
      </c>
      <c r="AA80" s="12" t="s">
        <v>53</v>
      </c>
      <c r="AB80" s="11" t="s">
        <v>167</v>
      </c>
      <c r="AC80" s="12" t="s">
        <v>168</v>
      </c>
      <c r="AD80" s="11" t="s">
        <v>44</v>
      </c>
      <c r="AE80" s="12" t="s">
        <v>45</v>
      </c>
      <c r="AF80" s="14">
        <f t="shared" si="0"/>
        <v>0.20998360000000002</v>
      </c>
      <c r="AG80" s="11" t="s">
        <v>46</v>
      </c>
    </row>
    <row r="81" spans="1:33" x14ac:dyDescent="0.2">
      <c r="A81" s="8">
        <v>6595</v>
      </c>
      <c r="B81" s="9" t="s">
        <v>260</v>
      </c>
      <c r="C81" s="10">
        <v>43389</v>
      </c>
      <c r="D81" s="11">
        <v>136</v>
      </c>
      <c r="E81" s="12" t="s">
        <v>34</v>
      </c>
      <c r="F81" s="12" t="s">
        <v>35</v>
      </c>
      <c r="G81" s="12" t="s">
        <v>36</v>
      </c>
      <c r="H81" s="12" t="s">
        <v>37</v>
      </c>
      <c r="I81" s="11" t="s">
        <v>277</v>
      </c>
      <c r="J81" s="12" t="s">
        <v>278</v>
      </c>
      <c r="K81" s="13" t="s">
        <v>52</v>
      </c>
      <c r="L81" s="11" t="str">
        <f>"000139"</f>
        <v>000139</v>
      </c>
      <c r="M81" s="10">
        <v>43131</v>
      </c>
      <c r="N81" s="11" t="str">
        <f>"000063"</f>
        <v>000063</v>
      </c>
      <c r="O81" s="10">
        <v>43131</v>
      </c>
      <c r="P81" s="11" t="str">
        <f>"000140"</f>
        <v>000140</v>
      </c>
      <c r="Q81" s="10">
        <v>43131</v>
      </c>
      <c r="R81" s="11">
        <v>17</v>
      </c>
      <c r="S81" s="11" t="str">
        <f>"006481"</f>
        <v>006481</v>
      </c>
      <c r="T81" s="10">
        <v>43383</v>
      </c>
      <c r="U81" s="14">
        <v>5.2438700000000003</v>
      </c>
      <c r="V81" s="14">
        <v>0.56105000000000005</v>
      </c>
      <c r="W81" s="14">
        <v>4.6828200000000004</v>
      </c>
      <c r="X81" s="11">
        <v>241</v>
      </c>
      <c r="Y81" s="10">
        <v>43389</v>
      </c>
      <c r="Z81" s="11">
        <v>9945533990</v>
      </c>
      <c r="AA81" s="12" t="s">
        <v>102</v>
      </c>
      <c r="AB81" s="11" t="s">
        <v>249</v>
      </c>
      <c r="AC81" s="12" t="s">
        <v>250</v>
      </c>
      <c r="AD81" s="11" t="s">
        <v>44</v>
      </c>
      <c r="AE81" s="12" t="s">
        <v>45</v>
      </c>
      <c r="AF81" s="14">
        <f t="shared" si="0"/>
        <v>5.2438700000000005E-2</v>
      </c>
      <c r="AG81" s="11" t="s">
        <v>46</v>
      </c>
    </row>
    <row r="82" spans="1:33" x14ac:dyDescent="0.2">
      <c r="A82" s="8">
        <v>6765</v>
      </c>
      <c r="B82" s="9" t="s">
        <v>260</v>
      </c>
      <c r="C82" s="10">
        <v>43390</v>
      </c>
      <c r="D82" s="11">
        <v>136</v>
      </c>
      <c r="E82" s="12" t="s">
        <v>34</v>
      </c>
      <c r="F82" s="12" t="s">
        <v>35</v>
      </c>
      <c r="G82" s="12" t="s">
        <v>36</v>
      </c>
      <c r="H82" s="12" t="s">
        <v>37</v>
      </c>
      <c r="I82" s="11" t="s">
        <v>279</v>
      </c>
      <c r="J82" s="12" t="s">
        <v>280</v>
      </c>
      <c r="K82" s="13" t="s">
        <v>40</v>
      </c>
      <c r="L82" s="11" t="str">
        <f>"000218"</f>
        <v>000218</v>
      </c>
      <c r="M82" s="10">
        <v>43371</v>
      </c>
      <c r="N82" s="11" t="str">
        <f>"000104"</f>
        <v>000104</v>
      </c>
      <c r="O82" s="10">
        <v>43372</v>
      </c>
      <c r="P82" s="11" t="str">
        <f>"000188"</f>
        <v>000188</v>
      </c>
      <c r="Q82" s="10">
        <v>43372</v>
      </c>
      <c r="R82" s="11">
        <v>18</v>
      </c>
      <c r="S82" s="11" t="str">
        <f>"006807"</f>
        <v>006807</v>
      </c>
      <c r="T82" s="10">
        <v>43389</v>
      </c>
      <c r="U82" s="14">
        <v>53.97634</v>
      </c>
      <c r="V82" s="14">
        <v>4.7499000000000002</v>
      </c>
      <c r="W82" s="14">
        <v>49.226439999999997</v>
      </c>
      <c r="X82" s="11">
        <v>245</v>
      </c>
      <c r="Y82" s="10">
        <v>43390</v>
      </c>
      <c r="Z82" s="11">
        <v>9945533990</v>
      </c>
      <c r="AA82" s="12" t="s">
        <v>218</v>
      </c>
      <c r="AB82" s="11" t="s">
        <v>103</v>
      </c>
      <c r="AC82" s="12" t="s">
        <v>104</v>
      </c>
      <c r="AD82" s="11" t="s">
        <v>44</v>
      </c>
      <c r="AE82" s="12" t="s">
        <v>45</v>
      </c>
      <c r="AF82" s="14">
        <f t="shared" si="0"/>
        <v>0.5397634</v>
      </c>
      <c r="AG82" s="11" t="s">
        <v>86</v>
      </c>
    </row>
    <row r="83" spans="1:33" x14ac:dyDescent="0.2">
      <c r="A83" s="8">
        <v>7567</v>
      </c>
      <c r="B83" s="9" t="s">
        <v>281</v>
      </c>
      <c r="C83" s="10">
        <v>43437</v>
      </c>
      <c r="D83" s="11">
        <v>136</v>
      </c>
      <c r="E83" s="12" t="s">
        <v>34</v>
      </c>
      <c r="F83" s="12" t="s">
        <v>35</v>
      </c>
      <c r="G83" s="12" t="s">
        <v>36</v>
      </c>
      <c r="H83" s="12" t="s">
        <v>37</v>
      </c>
      <c r="I83" s="11" t="s">
        <v>282</v>
      </c>
      <c r="J83" s="12" t="s">
        <v>283</v>
      </c>
      <c r="K83" s="13" t="s">
        <v>265</v>
      </c>
      <c r="L83" s="11" t="str">
        <f>"000043"</f>
        <v>000043</v>
      </c>
      <c r="M83" s="10">
        <v>42461</v>
      </c>
      <c r="N83" s="11" t="str">
        <f>"000110"</f>
        <v>000110</v>
      </c>
      <c r="O83" s="10">
        <v>43173</v>
      </c>
      <c r="P83" s="11" t="str">
        <f>"000125"</f>
        <v>000125</v>
      </c>
      <c r="Q83" s="10">
        <v>43173</v>
      </c>
      <c r="R83" s="11">
        <v>13</v>
      </c>
      <c r="S83" s="11" t="str">
        <f>"007617"</f>
        <v>007617</v>
      </c>
      <c r="T83" s="10">
        <v>43432</v>
      </c>
      <c r="U83" s="14">
        <v>28.8691</v>
      </c>
      <c r="V83" s="14">
        <v>2.0760700000000001</v>
      </c>
      <c r="W83" s="14">
        <v>26.793030000000002</v>
      </c>
      <c r="X83" s="11">
        <v>280</v>
      </c>
      <c r="Y83" s="10">
        <v>43437</v>
      </c>
      <c r="Z83" s="11">
        <v>9880891949</v>
      </c>
      <c r="AA83" s="12" t="s">
        <v>284</v>
      </c>
      <c r="AB83" s="11" t="s">
        <v>285</v>
      </c>
      <c r="AC83" s="12" t="s">
        <v>286</v>
      </c>
      <c r="AD83" s="11" t="s">
        <v>287</v>
      </c>
      <c r="AE83" s="12" t="s">
        <v>288</v>
      </c>
      <c r="AF83" s="14">
        <f t="shared" si="0"/>
        <v>0.28869099999999998</v>
      </c>
      <c r="AG83" s="11" t="s">
        <v>46</v>
      </c>
    </row>
    <row r="84" spans="1:33" x14ac:dyDescent="0.2">
      <c r="A84" s="8">
        <v>7773</v>
      </c>
      <c r="B84" s="9" t="s">
        <v>281</v>
      </c>
      <c r="C84" s="10">
        <v>43448</v>
      </c>
      <c r="D84" s="11">
        <v>136</v>
      </c>
      <c r="E84" s="12" t="s">
        <v>34</v>
      </c>
      <c r="F84" s="12" t="s">
        <v>35</v>
      </c>
      <c r="G84" s="12" t="s">
        <v>36</v>
      </c>
      <c r="H84" s="12" t="s">
        <v>37</v>
      </c>
      <c r="I84" s="11" t="s">
        <v>289</v>
      </c>
      <c r="J84" s="12" t="s">
        <v>290</v>
      </c>
      <c r="K84" s="13" t="s">
        <v>107</v>
      </c>
      <c r="L84" s="11" t="str">
        <f>"000004"</f>
        <v>000004</v>
      </c>
      <c r="M84" s="10">
        <v>42945</v>
      </c>
      <c r="N84" s="11" t="str">
        <f>"000044"</f>
        <v>000044</v>
      </c>
      <c r="O84" s="10">
        <v>43029</v>
      </c>
      <c r="P84" s="11" t="str">
        <f>"000074"</f>
        <v>000074</v>
      </c>
      <c r="Q84" s="10">
        <v>43029</v>
      </c>
      <c r="R84" s="11">
        <v>17</v>
      </c>
      <c r="S84" s="11" t="str">
        <f>"007767"</f>
        <v>007767</v>
      </c>
      <c r="T84" s="10">
        <v>43444</v>
      </c>
      <c r="U84" s="14">
        <v>14.98418</v>
      </c>
      <c r="V84" s="14">
        <v>2.22356</v>
      </c>
      <c r="W84" s="14">
        <v>12.760619999999999</v>
      </c>
      <c r="X84" s="11">
        <v>292</v>
      </c>
      <c r="Y84" s="10">
        <v>43448</v>
      </c>
      <c r="Z84" s="11">
        <v>9900333498</v>
      </c>
      <c r="AA84" s="12" t="s">
        <v>291</v>
      </c>
      <c r="AB84" s="11" t="s">
        <v>167</v>
      </c>
      <c r="AC84" s="12" t="s">
        <v>168</v>
      </c>
      <c r="AD84" s="11" t="s">
        <v>234</v>
      </c>
      <c r="AE84" s="12" t="s">
        <v>235</v>
      </c>
      <c r="AF84" s="14">
        <f t="shared" si="0"/>
        <v>0.1498418</v>
      </c>
      <c r="AG84" s="11" t="s">
        <v>46</v>
      </c>
    </row>
    <row r="85" spans="1:33" x14ac:dyDescent="0.2">
      <c r="A85" s="8">
        <v>7774</v>
      </c>
      <c r="B85" s="9" t="s">
        <v>281</v>
      </c>
      <c r="C85" s="10">
        <v>43448</v>
      </c>
      <c r="D85" s="11">
        <v>136</v>
      </c>
      <c r="E85" s="12" t="s">
        <v>34</v>
      </c>
      <c r="F85" s="12" t="s">
        <v>35</v>
      </c>
      <c r="G85" s="12" t="s">
        <v>36</v>
      </c>
      <c r="H85" s="12" t="s">
        <v>37</v>
      </c>
      <c r="I85" s="11" t="s">
        <v>292</v>
      </c>
      <c r="J85" s="12" t="s">
        <v>293</v>
      </c>
      <c r="K85" s="13" t="s">
        <v>107</v>
      </c>
      <c r="L85" s="11" t="str">
        <f>"000003"</f>
        <v>000003</v>
      </c>
      <c r="M85" s="10">
        <v>42945</v>
      </c>
      <c r="N85" s="11" t="str">
        <f>"000045"</f>
        <v>000045</v>
      </c>
      <c r="O85" s="10">
        <v>43029</v>
      </c>
      <c r="P85" s="11" t="str">
        <f>"000075"</f>
        <v>000075</v>
      </c>
      <c r="Q85" s="10">
        <v>43029</v>
      </c>
      <c r="R85" s="11">
        <v>17</v>
      </c>
      <c r="S85" s="11" t="str">
        <f>"007870"</f>
        <v>007870</v>
      </c>
      <c r="T85" s="10">
        <v>43445</v>
      </c>
      <c r="U85" s="14">
        <v>14.98475</v>
      </c>
      <c r="V85" s="14">
        <v>2.2236500000000001</v>
      </c>
      <c r="W85" s="14">
        <v>12.761100000000001</v>
      </c>
      <c r="X85" s="11">
        <v>292</v>
      </c>
      <c r="Y85" s="10">
        <v>43448</v>
      </c>
      <c r="Z85" s="11">
        <v>9845007432</v>
      </c>
      <c r="AA85" s="12" t="s">
        <v>294</v>
      </c>
      <c r="AB85" s="11" t="s">
        <v>167</v>
      </c>
      <c r="AC85" s="12" t="s">
        <v>168</v>
      </c>
      <c r="AD85" s="11" t="s">
        <v>234</v>
      </c>
      <c r="AE85" s="12" t="s">
        <v>235</v>
      </c>
      <c r="AF85" s="14">
        <f t="shared" si="0"/>
        <v>0.14984749999999999</v>
      </c>
      <c r="AG85" s="11" t="s">
        <v>46</v>
      </c>
    </row>
    <row r="86" spans="1:33" x14ac:dyDescent="0.2">
      <c r="A86" s="8">
        <v>7915</v>
      </c>
      <c r="B86" s="9" t="s">
        <v>281</v>
      </c>
      <c r="C86" s="10">
        <v>43454</v>
      </c>
      <c r="D86" s="11">
        <v>136</v>
      </c>
      <c r="E86" s="12" t="s">
        <v>34</v>
      </c>
      <c r="F86" s="12" t="s">
        <v>35</v>
      </c>
      <c r="G86" s="12" t="s">
        <v>36</v>
      </c>
      <c r="H86" s="12" t="s">
        <v>37</v>
      </c>
      <c r="I86" s="11" t="s">
        <v>295</v>
      </c>
      <c r="J86" s="12" t="s">
        <v>296</v>
      </c>
      <c r="K86" s="13" t="s">
        <v>52</v>
      </c>
      <c r="L86" s="11" t="str">
        <f>"000225"</f>
        <v>000225</v>
      </c>
      <c r="M86" s="10">
        <v>43155</v>
      </c>
      <c r="N86" s="11" t="str">
        <f>"000080"</f>
        <v>000080</v>
      </c>
      <c r="O86" s="10">
        <v>43155</v>
      </c>
      <c r="P86" s="11" t="str">
        <f>"000213"</f>
        <v>000213</v>
      </c>
      <c r="Q86" s="10">
        <v>43155</v>
      </c>
      <c r="R86" s="11">
        <v>17</v>
      </c>
      <c r="S86" s="11" t="str">
        <f>"008003"</f>
        <v>008003</v>
      </c>
      <c r="T86" s="10">
        <v>43448</v>
      </c>
      <c r="U86" s="14">
        <v>20.993780000000001</v>
      </c>
      <c r="V86" s="14">
        <v>2.26728</v>
      </c>
      <c r="W86" s="14">
        <v>18.726500000000001</v>
      </c>
      <c r="X86" s="11">
        <v>298</v>
      </c>
      <c r="Y86" s="10">
        <v>43454</v>
      </c>
      <c r="Z86" s="11">
        <v>9945533990</v>
      </c>
      <c r="AA86" s="12" t="s">
        <v>102</v>
      </c>
      <c r="AB86" s="11" t="s">
        <v>253</v>
      </c>
      <c r="AC86" s="12" t="s">
        <v>254</v>
      </c>
      <c r="AD86" s="11" t="s">
        <v>44</v>
      </c>
      <c r="AE86" s="12" t="s">
        <v>45</v>
      </c>
      <c r="AF86" s="14">
        <f t="shared" si="0"/>
        <v>0.20993780000000001</v>
      </c>
      <c r="AG86" s="11" t="s">
        <v>46</v>
      </c>
    </row>
    <row r="87" spans="1:33" x14ac:dyDescent="0.2">
      <c r="A87" s="8">
        <v>8052</v>
      </c>
      <c r="B87" s="9" t="s">
        <v>281</v>
      </c>
      <c r="C87" s="10">
        <v>43455</v>
      </c>
      <c r="D87" s="11">
        <v>136</v>
      </c>
      <c r="E87" s="12" t="s">
        <v>34</v>
      </c>
      <c r="F87" s="12" t="s">
        <v>35</v>
      </c>
      <c r="G87" s="12" t="s">
        <v>36</v>
      </c>
      <c r="H87" s="12" t="s">
        <v>37</v>
      </c>
      <c r="I87" s="11" t="s">
        <v>297</v>
      </c>
      <c r="J87" s="12" t="s">
        <v>298</v>
      </c>
      <c r="K87" s="13" t="s">
        <v>83</v>
      </c>
      <c r="L87" s="11" t="str">
        <f>"000410"</f>
        <v>000410</v>
      </c>
      <c r="M87" s="10">
        <v>42802</v>
      </c>
      <c r="N87" s="11" t="str">
        <f>"000462"</f>
        <v>000462</v>
      </c>
      <c r="O87" s="10">
        <v>42886</v>
      </c>
      <c r="P87" s="11" t="str">
        <f>"000162"</f>
        <v>000162</v>
      </c>
      <c r="Q87" s="10">
        <v>42886</v>
      </c>
      <c r="R87" s="11">
        <v>17</v>
      </c>
      <c r="S87" s="11" t="str">
        <f>"007779"</f>
        <v>007779</v>
      </c>
      <c r="T87" s="10">
        <v>43444</v>
      </c>
      <c r="U87" s="14">
        <v>18.84674</v>
      </c>
      <c r="V87" s="14">
        <v>2.2992699999999999</v>
      </c>
      <c r="W87" s="14">
        <v>16.547470000000001</v>
      </c>
      <c r="X87" s="11">
        <v>301</v>
      </c>
      <c r="Y87" s="10">
        <v>43455</v>
      </c>
      <c r="Z87" s="11">
        <v>9945533990</v>
      </c>
      <c r="AA87" s="12" t="s">
        <v>299</v>
      </c>
      <c r="AB87" s="11" t="s">
        <v>119</v>
      </c>
      <c r="AC87" s="12" t="s">
        <v>120</v>
      </c>
      <c r="AD87" s="11" t="s">
        <v>44</v>
      </c>
      <c r="AE87" s="12" t="s">
        <v>45</v>
      </c>
      <c r="AF87" s="14">
        <f t="shared" si="0"/>
        <v>0.18846740000000001</v>
      </c>
      <c r="AG87" s="11" t="s">
        <v>46</v>
      </c>
    </row>
    <row r="88" spans="1:33" x14ac:dyDescent="0.2">
      <c r="A88" s="8">
        <v>8053</v>
      </c>
      <c r="B88" s="9" t="s">
        <v>281</v>
      </c>
      <c r="C88" s="10">
        <v>43455</v>
      </c>
      <c r="D88" s="11">
        <v>136</v>
      </c>
      <c r="E88" s="12" t="s">
        <v>34</v>
      </c>
      <c r="F88" s="12" t="s">
        <v>35</v>
      </c>
      <c r="G88" s="12" t="s">
        <v>36</v>
      </c>
      <c r="H88" s="12" t="s">
        <v>37</v>
      </c>
      <c r="I88" s="11" t="s">
        <v>300</v>
      </c>
      <c r="J88" s="12" t="s">
        <v>301</v>
      </c>
      <c r="K88" s="13" t="s">
        <v>107</v>
      </c>
      <c r="L88" s="11" t="str">
        <f>"000411"</f>
        <v>000411</v>
      </c>
      <c r="M88" s="10">
        <v>42802</v>
      </c>
      <c r="N88" s="11" t="str">
        <f>"000463"</f>
        <v>000463</v>
      </c>
      <c r="O88" s="10">
        <v>42886</v>
      </c>
      <c r="P88" s="11" t="str">
        <f>"000163"</f>
        <v>000163</v>
      </c>
      <c r="Q88" s="10">
        <v>42886</v>
      </c>
      <c r="R88" s="11">
        <v>17</v>
      </c>
      <c r="S88" s="11" t="str">
        <f>"007780"</f>
        <v>007780</v>
      </c>
      <c r="T88" s="10">
        <v>43444</v>
      </c>
      <c r="U88" s="14">
        <v>15.74183</v>
      </c>
      <c r="V88" s="14">
        <v>1.92048</v>
      </c>
      <c r="W88" s="14">
        <v>13.821350000000001</v>
      </c>
      <c r="X88" s="11">
        <v>301</v>
      </c>
      <c r="Y88" s="10">
        <v>43455</v>
      </c>
      <c r="Z88" s="11">
        <v>9945533990</v>
      </c>
      <c r="AA88" s="12" t="s">
        <v>244</v>
      </c>
      <c r="AB88" s="11" t="s">
        <v>119</v>
      </c>
      <c r="AC88" s="12" t="s">
        <v>120</v>
      </c>
      <c r="AD88" s="11" t="s">
        <v>44</v>
      </c>
      <c r="AE88" s="12" t="s">
        <v>45</v>
      </c>
      <c r="AF88" s="14">
        <f t="shared" si="0"/>
        <v>0.15741830000000001</v>
      </c>
      <c r="AG88" s="11" t="s">
        <v>46</v>
      </c>
    </row>
    <row r="89" spans="1:33" x14ac:dyDescent="0.2">
      <c r="A89" s="8">
        <v>8090</v>
      </c>
      <c r="B89" s="9" t="s">
        <v>281</v>
      </c>
      <c r="C89" s="10">
        <v>43461</v>
      </c>
      <c r="D89" s="11">
        <v>136</v>
      </c>
      <c r="E89" s="12" t="s">
        <v>34</v>
      </c>
      <c r="F89" s="12" t="s">
        <v>35</v>
      </c>
      <c r="G89" s="12" t="s">
        <v>36</v>
      </c>
      <c r="H89" s="12" t="s">
        <v>37</v>
      </c>
      <c r="I89" s="11" t="s">
        <v>302</v>
      </c>
      <c r="J89" s="12" t="s">
        <v>303</v>
      </c>
      <c r="K89" s="13" t="s">
        <v>304</v>
      </c>
      <c r="L89" s="11" t="str">
        <f>"000311"</f>
        <v>000311</v>
      </c>
      <c r="M89" s="10">
        <v>43409</v>
      </c>
      <c r="N89" s="11" t="str">
        <f>"000131"</f>
        <v>000131</v>
      </c>
      <c r="O89" s="10">
        <v>43433</v>
      </c>
      <c r="P89" s="11" t="str">
        <f>"000236"</f>
        <v>000236</v>
      </c>
      <c r="Q89" s="10">
        <v>43434</v>
      </c>
      <c r="R89" s="11">
        <v>17</v>
      </c>
      <c r="S89" s="11" t="str">
        <f>"008228"</f>
        <v>008228</v>
      </c>
      <c r="T89" s="10">
        <v>43456</v>
      </c>
      <c r="U89" s="14">
        <v>9.82972</v>
      </c>
      <c r="V89" s="14">
        <v>0.96162999999999998</v>
      </c>
      <c r="W89" s="14">
        <v>8.8680900000000005</v>
      </c>
      <c r="X89" s="11">
        <v>305</v>
      </c>
      <c r="Y89" s="10">
        <v>43461</v>
      </c>
      <c r="Z89" s="11">
        <v>9945533990</v>
      </c>
      <c r="AA89" s="12" t="s">
        <v>218</v>
      </c>
      <c r="AB89" s="11" t="s">
        <v>94</v>
      </c>
      <c r="AC89" s="12" t="s">
        <v>95</v>
      </c>
      <c r="AD89" s="11" t="s">
        <v>44</v>
      </c>
      <c r="AE89" s="12" t="s">
        <v>45</v>
      </c>
      <c r="AF89" s="14">
        <f t="shared" si="0"/>
        <v>9.8297200000000001E-2</v>
      </c>
      <c r="AG89" s="11" t="s">
        <v>86</v>
      </c>
    </row>
    <row r="90" spans="1:33" x14ac:dyDescent="0.2">
      <c r="A90" s="8">
        <v>8611</v>
      </c>
      <c r="B90" s="9" t="s">
        <v>305</v>
      </c>
      <c r="C90" s="10">
        <v>43481</v>
      </c>
      <c r="D90" s="11">
        <v>136</v>
      </c>
      <c r="E90" s="12" t="s">
        <v>34</v>
      </c>
      <c r="F90" s="12" t="s">
        <v>35</v>
      </c>
      <c r="G90" s="12" t="s">
        <v>36</v>
      </c>
      <c r="H90" s="12" t="s">
        <v>37</v>
      </c>
      <c r="I90" s="11" t="s">
        <v>306</v>
      </c>
      <c r="J90" s="12" t="s">
        <v>307</v>
      </c>
      <c r="K90" s="13" t="s">
        <v>107</v>
      </c>
      <c r="L90" s="11" t="str">
        <f>"000075"</f>
        <v>000075</v>
      </c>
      <c r="M90" s="10">
        <v>43396</v>
      </c>
      <c r="N90" s="11" t="str">
        <f>"000134"</f>
        <v>000134</v>
      </c>
      <c r="O90" s="10">
        <v>43421</v>
      </c>
      <c r="P90" s="11" t="str">
        <f>"000131"</f>
        <v>000131</v>
      </c>
      <c r="Q90" s="10">
        <v>43421</v>
      </c>
      <c r="R90" s="11"/>
      <c r="S90" s="11" t="str">
        <f>"008723"</f>
        <v>008723</v>
      </c>
      <c r="T90" s="10">
        <v>43477</v>
      </c>
      <c r="U90" s="14">
        <v>9.5782500000000006</v>
      </c>
      <c r="V90" s="14">
        <v>1.1879599999999999</v>
      </c>
      <c r="W90" s="14">
        <v>8.3902900000000002</v>
      </c>
      <c r="X90" s="11">
        <v>324</v>
      </c>
      <c r="Y90" s="10">
        <v>43481</v>
      </c>
      <c r="Z90" s="11">
        <v>9141763252</v>
      </c>
      <c r="AA90" s="12" t="s">
        <v>308</v>
      </c>
      <c r="AB90" s="11" t="s">
        <v>309</v>
      </c>
      <c r="AC90" s="12" t="s">
        <v>310</v>
      </c>
      <c r="AD90" s="11" t="s">
        <v>234</v>
      </c>
      <c r="AE90" s="12" t="s">
        <v>235</v>
      </c>
      <c r="AF90" s="14">
        <f t="shared" si="0"/>
        <v>9.5782500000000007E-2</v>
      </c>
      <c r="AG90" s="11" t="s">
        <v>86</v>
      </c>
    </row>
    <row r="91" spans="1:33" x14ac:dyDescent="0.2">
      <c r="A91" s="8">
        <v>9093</v>
      </c>
      <c r="B91" s="9" t="s">
        <v>311</v>
      </c>
      <c r="C91" s="10">
        <v>43507</v>
      </c>
      <c r="D91" s="11">
        <v>136</v>
      </c>
      <c r="E91" s="12" t="s">
        <v>34</v>
      </c>
      <c r="F91" s="12" t="s">
        <v>35</v>
      </c>
      <c r="G91" s="12" t="s">
        <v>36</v>
      </c>
      <c r="H91" s="12" t="s">
        <v>37</v>
      </c>
      <c r="I91" s="11" t="s">
        <v>312</v>
      </c>
      <c r="J91" s="12" t="s">
        <v>313</v>
      </c>
      <c r="K91" s="13" t="s">
        <v>62</v>
      </c>
      <c r="L91" s="11" t="str">
        <f>"000065"</f>
        <v>000065</v>
      </c>
      <c r="M91" s="10">
        <v>43098</v>
      </c>
      <c r="N91" s="11" t="str">
        <f>"000029"</f>
        <v>000029</v>
      </c>
      <c r="O91" s="10">
        <v>43099</v>
      </c>
      <c r="P91" s="11" t="str">
        <f>"000063"</f>
        <v>000063</v>
      </c>
      <c r="Q91" s="10">
        <v>43099</v>
      </c>
      <c r="R91" s="11"/>
      <c r="S91" s="11" t="str">
        <f>"009007"</f>
        <v>009007</v>
      </c>
      <c r="T91" s="10">
        <v>43490</v>
      </c>
      <c r="U91" s="14">
        <v>20.252400000000002</v>
      </c>
      <c r="V91" s="14">
        <v>2.1467299999999998</v>
      </c>
      <c r="W91" s="14">
        <v>18.10567</v>
      </c>
      <c r="X91" s="11">
        <v>347</v>
      </c>
      <c r="Y91" s="10">
        <v>43507</v>
      </c>
      <c r="Z91" s="11">
        <v>9448670844</v>
      </c>
      <c r="AA91" s="12" t="s">
        <v>157</v>
      </c>
      <c r="AB91" s="11" t="s">
        <v>167</v>
      </c>
      <c r="AC91" s="12" t="s">
        <v>168</v>
      </c>
      <c r="AD91" s="11" t="s">
        <v>44</v>
      </c>
      <c r="AE91" s="12" t="s">
        <v>45</v>
      </c>
      <c r="AF91" s="14">
        <f t="shared" si="0"/>
        <v>0.20252400000000001</v>
      </c>
      <c r="AG91" s="11" t="s">
        <v>46</v>
      </c>
    </row>
    <row r="92" spans="1:33" x14ac:dyDescent="0.2">
      <c r="A92" s="8">
        <v>9208</v>
      </c>
      <c r="B92" s="9" t="s">
        <v>311</v>
      </c>
      <c r="C92" s="10">
        <v>43511</v>
      </c>
      <c r="D92" s="11">
        <v>136</v>
      </c>
      <c r="E92" s="12" t="s">
        <v>34</v>
      </c>
      <c r="F92" s="12" t="s">
        <v>35</v>
      </c>
      <c r="G92" s="12" t="s">
        <v>36</v>
      </c>
      <c r="H92" s="12" t="s">
        <v>37</v>
      </c>
      <c r="I92" s="11" t="s">
        <v>314</v>
      </c>
      <c r="J92" s="12" t="s">
        <v>315</v>
      </c>
      <c r="K92" s="13" t="s">
        <v>107</v>
      </c>
      <c r="L92" s="11" t="str">
        <f>"000076"</f>
        <v>000076</v>
      </c>
      <c r="M92" s="10">
        <v>43398</v>
      </c>
      <c r="N92" s="11" t="str">
        <f>"000133"</f>
        <v>000133</v>
      </c>
      <c r="O92" s="10">
        <v>43421</v>
      </c>
      <c r="P92" s="11" t="str">
        <f>"000132"</f>
        <v>000132</v>
      </c>
      <c r="Q92" s="10">
        <v>43421</v>
      </c>
      <c r="R92" s="11"/>
      <c r="S92" s="11" t="str">
        <f>"009257"</f>
        <v>009257</v>
      </c>
      <c r="T92" s="10">
        <v>43510</v>
      </c>
      <c r="U92" s="14">
        <v>24.813130000000001</v>
      </c>
      <c r="V92" s="14">
        <v>3.0733000000000001</v>
      </c>
      <c r="W92" s="14">
        <v>21.739830000000001</v>
      </c>
      <c r="X92" s="11">
        <v>353</v>
      </c>
      <c r="Y92" s="10">
        <v>43511</v>
      </c>
      <c r="Z92" s="11">
        <v>9141395491</v>
      </c>
      <c r="AA92" s="12" t="s">
        <v>308</v>
      </c>
      <c r="AB92" s="11" t="s">
        <v>309</v>
      </c>
      <c r="AC92" s="12" t="s">
        <v>310</v>
      </c>
      <c r="AD92" s="11" t="s">
        <v>234</v>
      </c>
      <c r="AE92" s="12" t="s">
        <v>235</v>
      </c>
      <c r="AF92" s="14">
        <f t="shared" si="0"/>
        <v>0.2481313</v>
      </c>
      <c r="AG92" s="11" t="s">
        <v>86</v>
      </c>
    </row>
    <row r="93" spans="1:33" x14ac:dyDescent="0.2">
      <c r="A93" s="8">
        <v>9244</v>
      </c>
      <c r="B93" s="9" t="s">
        <v>311</v>
      </c>
      <c r="C93" s="10">
        <v>43519</v>
      </c>
      <c r="D93" s="11">
        <v>136</v>
      </c>
      <c r="E93" s="12" t="s">
        <v>34</v>
      </c>
      <c r="F93" s="12" t="s">
        <v>35</v>
      </c>
      <c r="G93" s="12" t="s">
        <v>36</v>
      </c>
      <c r="H93" s="12" t="s">
        <v>37</v>
      </c>
      <c r="I93" s="11" t="s">
        <v>316</v>
      </c>
      <c r="J93" s="12" t="s">
        <v>317</v>
      </c>
      <c r="K93" s="13" t="s">
        <v>83</v>
      </c>
      <c r="L93" s="11" t="str">
        <f>"000414"</f>
        <v>000414</v>
      </c>
      <c r="M93" s="10">
        <v>43479</v>
      </c>
      <c r="N93" s="11" t="str">
        <f>"000161"</f>
        <v>000161</v>
      </c>
      <c r="O93" s="10">
        <v>43512</v>
      </c>
      <c r="P93" s="11" t="str">
        <f>"000365"</f>
        <v>000365</v>
      </c>
      <c r="Q93" s="10">
        <v>43514</v>
      </c>
      <c r="R93" s="11"/>
      <c r="S93" s="11" t="str">
        <f>"009372"</f>
        <v>009372</v>
      </c>
      <c r="T93" s="10">
        <v>43518</v>
      </c>
      <c r="U93" s="14">
        <v>57.410719999999998</v>
      </c>
      <c r="V93" s="14">
        <v>2.23081</v>
      </c>
      <c r="W93" s="14">
        <v>55.17991</v>
      </c>
      <c r="X93" s="11">
        <v>357</v>
      </c>
      <c r="Y93" s="10">
        <v>43519</v>
      </c>
      <c r="Z93" s="11">
        <v>9945533990</v>
      </c>
      <c r="AA93" s="12" t="s">
        <v>218</v>
      </c>
      <c r="AB93" s="11" t="s">
        <v>84</v>
      </c>
      <c r="AC93" s="12" t="s">
        <v>85</v>
      </c>
      <c r="AD93" s="11" t="s">
        <v>44</v>
      </c>
      <c r="AE93" s="12" t="s">
        <v>45</v>
      </c>
      <c r="AF93" s="14">
        <f t="shared" si="0"/>
        <v>0.57410719999999993</v>
      </c>
      <c r="AG93" s="11" t="s">
        <v>86</v>
      </c>
    </row>
    <row r="94" spans="1:33" x14ac:dyDescent="0.2">
      <c r="A94" s="8">
        <v>9245</v>
      </c>
      <c r="B94" s="9" t="s">
        <v>311</v>
      </c>
      <c r="C94" s="10">
        <v>43519</v>
      </c>
      <c r="D94" s="11">
        <v>136</v>
      </c>
      <c r="E94" s="12" t="s">
        <v>34</v>
      </c>
      <c r="F94" s="12" t="s">
        <v>35</v>
      </c>
      <c r="G94" s="12" t="s">
        <v>36</v>
      </c>
      <c r="H94" s="12" t="s">
        <v>37</v>
      </c>
      <c r="I94" s="11" t="s">
        <v>318</v>
      </c>
      <c r="J94" s="12" t="s">
        <v>319</v>
      </c>
      <c r="K94" s="13" t="s">
        <v>83</v>
      </c>
      <c r="L94" s="11" t="str">
        <f>"000432"</f>
        <v>000432</v>
      </c>
      <c r="M94" s="10">
        <v>43481</v>
      </c>
      <c r="N94" s="11" t="str">
        <f>"000163"</f>
        <v>000163</v>
      </c>
      <c r="O94" s="10">
        <v>43512</v>
      </c>
      <c r="P94" s="11" t="str">
        <f>"000367"</f>
        <v>000367</v>
      </c>
      <c r="Q94" s="10">
        <v>43514</v>
      </c>
      <c r="R94" s="11"/>
      <c r="S94" s="11" t="str">
        <f>"009379"</f>
        <v>009379</v>
      </c>
      <c r="T94" s="10">
        <v>43518</v>
      </c>
      <c r="U94" s="14">
        <v>56.255879999999998</v>
      </c>
      <c r="V94" s="14">
        <v>2.1859099999999998</v>
      </c>
      <c r="W94" s="14">
        <v>54.069969999999998</v>
      </c>
      <c r="X94" s="11">
        <v>357</v>
      </c>
      <c r="Y94" s="10">
        <v>43519</v>
      </c>
      <c r="Z94" s="11">
        <v>9945533990</v>
      </c>
      <c r="AA94" s="12" t="s">
        <v>218</v>
      </c>
      <c r="AB94" s="11" t="s">
        <v>84</v>
      </c>
      <c r="AC94" s="12" t="s">
        <v>85</v>
      </c>
      <c r="AD94" s="11" t="s">
        <v>44</v>
      </c>
      <c r="AE94" s="12" t="s">
        <v>45</v>
      </c>
      <c r="AF94" s="14">
        <f t="shared" si="0"/>
        <v>0.56255880000000003</v>
      </c>
      <c r="AG94" s="11" t="s">
        <v>86</v>
      </c>
    </row>
    <row r="95" spans="1:33" x14ac:dyDescent="0.2">
      <c r="A95" s="8">
        <v>9263</v>
      </c>
      <c r="B95" s="9" t="s">
        <v>311</v>
      </c>
      <c r="C95" s="10">
        <v>43521</v>
      </c>
      <c r="D95" s="11">
        <v>136</v>
      </c>
      <c r="E95" s="12" t="s">
        <v>34</v>
      </c>
      <c r="F95" s="12" t="s">
        <v>35</v>
      </c>
      <c r="G95" s="12" t="s">
        <v>36</v>
      </c>
      <c r="H95" s="12" t="s">
        <v>37</v>
      </c>
      <c r="I95" s="11" t="s">
        <v>320</v>
      </c>
      <c r="J95" s="12" t="s">
        <v>321</v>
      </c>
      <c r="K95" s="13" t="s">
        <v>107</v>
      </c>
      <c r="L95" s="11" t="str">
        <f>"000015"</f>
        <v>000015</v>
      </c>
      <c r="M95" s="10">
        <v>42949</v>
      </c>
      <c r="N95" s="11" t="str">
        <f>"000057"</f>
        <v>000057</v>
      </c>
      <c r="O95" s="10">
        <v>43068</v>
      </c>
      <c r="P95" s="11" t="str">
        <f>"000086"</f>
        <v>000086</v>
      </c>
      <c r="Q95" s="10">
        <v>43068</v>
      </c>
      <c r="R95" s="11"/>
      <c r="S95" s="11" t="str">
        <f>"009286"</f>
        <v>009286</v>
      </c>
      <c r="T95" s="10">
        <v>43515</v>
      </c>
      <c r="U95" s="14">
        <v>24.941600000000001</v>
      </c>
      <c r="V95" s="14">
        <v>3.14323</v>
      </c>
      <c r="W95" s="14">
        <v>21.798369999999998</v>
      </c>
      <c r="X95" s="11">
        <v>358</v>
      </c>
      <c r="Y95" s="10">
        <v>43521</v>
      </c>
      <c r="Z95" s="11">
        <v>9900333498</v>
      </c>
      <c r="AA95" s="12" t="s">
        <v>291</v>
      </c>
      <c r="AB95" s="11" t="s">
        <v>167</v>
      </c>
      <c r="AC95" s="12" t="s">
        <v>168</v>
      </c>
      <c r="AD95" s="11" t="s">
        <v>234</v>
      </c>
      <c r="AE95" s="12" t="s">
        <v>235</v>
      </c>
      <c r="AF95" s="14">
        <f t="shared" si="0"/>
        <v>0.249416</v>
      </c>
      <c r="AG95" s="11" t="s">
        <v>46</v>
      </c>
    </row>
    <row r="96" spans="1:33" x14ac:dyDescent="0.2">
      <c r="A96" s="8">
        <v>9351</v>
      </c>
      <c r="B96" s="9" t="s">
        <v>311</v>
      </c>
      <c r="C96" s="10">
        <v>43521</v>
      </c>
      <c r="D96" s="11">
        <v>136</v>
      </c>
      <c r="E96" s="12" t="s">
        <v>34</v>
      </c>
      <c r="F96" s="12" t="s">
        <v>35</v>
      </c>
      <c r="G96" s="12" t="s">
        <v>36</v>
      </c>
      <c r="H96" s="12" t="s">
        <v>37</v>
      </c>
      <c r="I96" s="11" t="s">
        <v>322</v>
      </c>
      <c r="J96" s="12" t="s">
        <v>323</v>
      </c>
      <c r="K96" s="13" t="s">
        <v>52</v>
      </c>
      <c r="L96" s="11" t="str">
        <f>"000014"</f>
        <v>000014</v>
      </c>
      <c r="M96" s="10">
        <v>43217</v>
      </c>
      <c r="N96" s="11" t="str">
        <f>"000023"</f>
        <v>000023</v>
      </c>
      <c r="O96" s="10">
        <v>43217</v>
      </c>
      <c r="P96" s="11" t="str">
        <f>"000086"</f>
        <v>000086</v>
      </c>
      <c r="Q96" s="10">
        <v>43218</v>
      </c>
      <c r="R96" s="11"/>
      <c r="S96" s="11" t="str">
        <f>"009300"</f>
        <v>009300</v>
      </c>
      <c r="T96" s="10">
        <v>43516</v>
      </c>
      <c r="U96" s="14">
        <v>25.747229999999998</v>
      </c>
      <c r="V96" s="14">
        <v>2.7549299999999999</v>
      </c>
      <c r="W96" s="14">
        <v>22.9923</v>
      </c>
      <c r="X96" s="11">
        <v>360</v>
      </c>
      <c r="Y96" s="10">
        <v>43521</v>
      </c>
      <c r="Z96" s="11">
        <v>9945533990</v>
      </c>
      <c r="AA96" s="12" t="s">
        <v>53</v>
      </c>
      <c r="AB96" s="11" t="s">
        <v>324</v>
      </c>
      <c r="AC96" s="12" t="s">
        <v>325</v>
      </c>
      <c r="AD96" s="11" t="s">
        <v>44</v>
      </c>
      <c r="AE96" s="12" t="s">
        <v>45</v>
      </c>
      <c r="AF96" s="14">
        <f t="shared" si="0"/>
        <v>0.25747229999999999</v>
      </c>
      <c r="AG96" s="11" t="s">
        <v>86</v>
      </c>
    </row>
    <row r="97" spans="1:33" x14ac:dyDescent="0.2">
      <c r="A97" s="8">
        <v>9435</v>
      </c>
      <c r="B97" s="9" t="s">
        <v>326</v>
      </c>
      <c r="C97" s="10">
        <v>43526</v>
      </c>
      <c r="D97" s="11">
        <v>136</v>
      </c>
      <c r="E97" s="12" t="s">
        <v>34</v>
      </c>
      <c r="F97" s="12" t="s">
        <v>35</v>
      </c>
      <c r="G97" s="12" t="s">
        <v>36</v>
      </c>
      <c r="H97" s="12" t="s">
        <v>37</v>
      </c>
      <c r="I97" s="11" t="s">
        <v>327</v>
      </c>
      <c r="J97" s="12" t="s">
        <v>328</v>
      </c>
      <c r="K97" s="13" t="s">
        <v>329</v>
      </c>
      <c r="L97" s="11" t="str">
        <f>"000374"</f>
        <v>000374</v>
      </c>
      <c r="M97" s="10">
        <v>43447</v>
      </c>
      <c r="N97" s="11" t="str">
        <f>"000150"</f>
        <v>000150</v>
      </c>
      <c r="O97" s="10">
        <v>43465</v>
      </c>
      <c r="P97" s="11" t="str">
        <f>"000318"</f>
        <v>000318</v>
      </c>
      <c r="Q97" s="10">
        <v>43465</v>
      </c>
      <c r="R97" s="11"/>
      <c r="S97" s="11" t="str">
        <f>"009332"</f>
        <v>009332</v>
      </c>
      <c r="T97" s="10">
        <v>43518</v>
      </c>
      <c r="U97" s="14">
        <v>0.94399999999999995</v>
      </c>
      <c r="V97" s="14">
        <v>4.437E-2</v>
      </c>
      <c r="W97" s="14">
        <v>0.89963000000000004</v>
      </c>
      <c r="X97" s="11">
        <v>364</v>
      </c>
      <c r="Y97" s="10">
        <v>43526</v>
      </c>
      <c r="Z97" s="11">
        <v>9945533990</v>
      </c>
      <c r="AA97" s="12" t="s">
        <v>330</v>
      </c>
      <c r="AB97" s="11" t="s">
        <v>134</v>
      </c>
      <c r="AC97" s="12" t="s">
        <v>135</v>
      </c>
      <c r="AD97" s="11" t="s">
        <v>44</v>
      </c>
      <c r="AE97" s="12" t="s">
        <v>45</v>
      </c>
      <c r="AF97" s="14">
        <f t="shared" si="0"/>
        <v>9.4399999999999987E-3</v>
      </c>
      <c r="AG97" s="11" t="s">
        <v>86</v>
      </c>
    </row>
    <row r="98" spans="1:33" x14ac:dyDescent="0.2">
      <c r="A98" s="8">
        <v>9436</v>
      </c>
      <c r="B98" s="9" t="s">
        <v>326</v>
      </c>
      <c r="C98" s="10">
        <v>43526</v>
      </c>
      <c r="D98" s="11">
        <v>136</v>
      </c>
      <c r="E98" s="12" t="s">
        <v>34</v>
      </c>
      <c r="F98" s="12" t="s">
        <v>35</v>
      </c>
      <c r="G98" s="12" t="s">
        <v>36</v>
      </c>
      <c r="H98" s="12" t="s">
        <v>37</v>
      </c>
      <c r="I98" s="11" t="s">
        <v>331</v>
      </c>
      <c r="J98" s="12" t="s">
        <v>332</v>
      </c>
      <c r="K98" s="13" t="s">
        <v>329</v>
      </c>
      <c r="L98" s="11" t="str">
        <f>"000373"</f>
        <v>000373</v>
      </c>
      <c r="M98" s="10">
        <v>43447</v>
      </c>
      <c r="N98" s="11" t="str">
        <f>"000151"</f>
        <v>000151</v>
      </c>
      <c r="O98" s="10">
        <v>43465</v>
      </c>
      <c r="P98" s="11" t="str">
        <f>"000317"</f>
        <v>000317</v>
      </c>
      <c r="Q98" s="10">
        <v>43465</v>
      </c>
      <c r="R98" s="11"/>
      <c r="S98" s="11" t="str">
        <f>"009333"</f>
        <v>009333</v>
      </c>
      <c r="T98" s="10">
        <v>43518</v>
      </c>
      <c r="U98" s="14">
        <v>1.16717</v>
      </c>
      <c r="V98" s="14">
        <v>5.484E-2</v>
      </c>
      <c r="W98" s="14">
        <v>1.11233</v>
      </c>
      <c r="X98" s="11">
        <v>364</v>
      </c>
      <c r="Y98" s="10">
        <v>43526</v>
      </c>
      <c r="Z98" s="11">
        <v>9945533990</v>
      </c>
      <c r="AA98" s="12" t="s">
        <v>333</v>
      </c>
      <c r="AB98" s="11" t="s">
        <v>134</v>
      </c>
      <c r="AC98" s="12" t="s">
        <v>135</v>
      </c>
      <c r="AD98" s="11" t="s">
        <v>44</v>
      </c>
      <c r="AE98" s="12" t="s">
        <v>45</v>
      </c>
      <c r="AF98" s="14">
        <f t="shared" si="0"/>
        <v>1.16717E-2</v>
      </c>
      <c r="AG98" s="11" t="s">
        <v>86</v>
      </c>
    </row>
    <row r="99" spans="1:33" x14ac:dyDescent="0.2">
      <c r="A99" s="8">
        <v>9778</v>
      </c>
      <c r="B99" s="9" t="s">
        <v>326</v>
      </c>
      <c r="C99" s="10">
        <v>43544</v>
      </c>
      <c r="D99" s="11">
        <v>136</v>
      </c>
      <c r="E99" s="12" t="s">
        <v>34</v>
      </c>
      <c r="F99" s="12" t="s">
        <v>35</v>
      </c>
      <c r="G99" s="12" t="s">
        <v>36</v>
      </c>
      <c r="H99" s="12" t="s">
        <v>37</v>
      </c>
      <c r="I99" s="11" t="s">
        <v>334</v>
      </c>
      <c r="J99" s="12" t="s">
        <v>335</v>
      </c>
      <c r="K99" s="13" t="s">
        <v>83</v>
      </c>
      <c r="L99" s="11" t="str">
        <f>"000221"</f>
        <v>000221</v>
      </c>
      <c r="M99" s="10">
        <v>43371</v>
      </c>
      <c r="N99" s="11" t="str">
        <f>"000107"</f>
        <v>000107</v>
      </c>
      <c r="O99" s="10">
        <v>43372</v>
      </c>
      <c r="P99" s="11" t="str">
        <f>"000183"</f>
        <v>000183</v>
      </c>
      <c r="Q99" s="10">
        <v>43372</v>
      </c>
      <c r="R99" s="11"/>
      <c r="S99" s="11" t="str">
        <f>"009662"</f>
        <v>009662</v>
      </c>
      <c r="T99" s="10">
        <v>43536</v>
      </c>
      <c r="U99" s="14">
        <v>26.243480000000002</v>
      </c>
      <c r="V99" s="14">
        <v>2.2893599999999998</v>
      </c>
      <c r="W99" s="14">
        <v>23.95412</v>
      </c>
      <c r="X99" s="11">
        <v>379</v>
      </c>
      <c r="Y99" s="10">
        <v>43544</v>
      </c>
      <c r="Z99" s="11">
        <v>9945533990</v>
      </c>
      <c r="AA99" s="12" t="s">
        <v>186</v>
      </c>
      <c r="AB99" s="11" t="s">
        <v>125</v>
      </c>
      <c r="AC99" s="12" t="s">
        <v>126</v>
      </c>
      <c r="AD99" s="11" t="s">
        <v>44</v>
      </c>
      <c r="AE99" s="12" t="s">
        <v>45</v>
      </c>
      <c r="AF99" s="14">
        <f t="shared" si="0"/>
        <v>0.26243480000000002</v>
      </c>
      <c r="AG99" s="11" t="s">
        <v>86</v>
      </c>
    </row>
    <row r="100" spans="1:33" x14ac:dyDescent="0.2">
      <c r="A100" s="8">
        <v>10064</v>
      </c>
      <c r="B100" s="9" t="s">
        <v>326</v>
      </c>
      <c r="C100" s="10">
        <v>43552</v>
      </c>
      <c r="D100" s="11">
        <v>136</v>
      </c>
      <c r="E100" s="12" t="s">
        <v>34</v>
      </c>
      <c r="F100" s="12" t="s">
        <v>35</v>
      </c>
      <c r="G100" s="12" t="s">
        <v>36</v>
      </c>
      <c r="H100" s="12" t="s">
        <v>37</v>
      </c>
      <c r="I100" s="11" t="s">
        <v>336</v>
      </c>
      <c r="J100" s="12" t="s">
        <v>337</v>
      </c>
      <c r="K100" s="13" t="s">
        <v>265</v>
      </c>
      <c r="L100" s="11" t="str">
        <f>"000114"</f>
        <v>000114</v>
      </c>
      <c r="M100" s="10">
        <v>43249</v>
      </c>
      <c r="N100" s="11" t="str">
        <f>"000039"</f>
        <v>000039</v>
      </c>
      <c r="O100" s="10">
        <v>43250</v>
      </c>
      <c r="P100" s="11" t="str">
        <f>"000107"</f>
        <v>000107</v>
      </c>
      <c r="Q100" s="10">
        <v>43250</v>
      </c>
      <c r="R100" s="11"/>
      <c r="S100" s="11" t="str">
        <f>"009987"</f>
        <v>009987</v>
      </c>
      <c r="T100" s="10">
        <v>43551</v>
      </c>
      <c r="U100" s="14">
        <v>20.99098</v>
      </c>
      <c r="V100" s="14">
        <v>2.2459799999999999</v>
      </c>
      <c r="W100" s="14">
        <v>18.745000000000001</v>
      </c>
      <c r="X100" s="11">
        <v>391</v>
      </c>
      <c r="Y100" s="10">
        <v>43552</v>
      </c>
      <c r="Z100" s="11">
        <v>9945533990</v>
      </c>
      <c r="AA100" s="12" t="s">
        <v>53</v>
      </c>
      <c r="AB100" s="11" t="s">
        <v>167</v>
      </c>
      <c r="AC100" s="12" t="s">
        <v>168</v>
      </c>
      <c r="AD100" s="11" t="s">
        <v>44</v>
      </c>
      <c r="AE100" s="12" t="s">
        <v>45</v>
      </c>
      <c r="AF100" s="14">
        <f t="shared" si="0"/>
        <v>0.20990980000000001</v>
      </c>
      <c r="AG100" s="11" t="s">
        <v>86</v>
      </c>
    </row>
    <row r="101" spans="1:33" x14ac:dyDescent="0.2">
      <c r="A101" s="8">
        <v>10065</v>
      </c>
      <c r="B101" s="9" t="s">
        <v>326</v>
      </c>
      <c r="C101" s="10">
        <v>43552</v>
      </c>
      <c r="D101" s="11">
        <v>136</v>
      </c>
      <c r="E101" s="12" t="s">
        <v>34</v>
      </c>
      <c r="F101" s="12" t="s">
        <v>35</v>
      </c>
      <c r="G101" s="12" t="s">
        <v>36</v>
      </c>
      <c r="H101" s="12" t="s">
        <v>37</v>
      </c>
      <c r="I101" s="11" t="s">
        <v>338</v>
      </c>
      <c r="J101" s="12" t="s">
        <v>339</v>
      </c>
      <c r="K101" s="13" t="s">
        <v>265</v>
      </c>
      <c r="L101" s="11" t="str">
        <f>"000110"</f>
        <v>000110</v>
      </c>
      <c r="M101" s="10">
        <v>43249</v>
      </c>
      <c r="N101" s="11" t="str">
        <f>"000040"</f>
        <v>000040</v>
      </c>
      <c r="O101" s="10">
        <v>43250</v>
      </c>
      <c r="P101" s="11" t="str">
        <f>"000108"</f>
        <v>000108</v>
      </c>
      <c r="Q101" s="10">
        <v>43250</v>
      </c>
      <c r="R101" s="11"/>
      <c r="S101" s="11" t="str">
        <f>"009988"</f>
        <v>009988</v>
      </c>
      <c r="T101" s="10">
        <v>43551</v>
      </c>
      <c r="U101" s="14">
        <v>20.988389999999999</v>
      </c>
      <c r="V101" s="14">
        <v>2.2667099999999998</v>
      </c>
      <c r="W101" s="14">
        <v>18.721679999999999</v>
      </c>
      <c r="X101" s="11">
        <v>391</v>
      </c>
      <c r="Y101" s="10">
        <v>43552</v>
      </c>
      <c r="Z101" s="11">
        <v>9945533990</v>
      </c>
      <c r="AA101" s="12" t="s">
        <v>102</v>
      </c>
      <c r="AB101" s="11" t="s">
        <v>167</v>
      </c>
      <c r="AC101" s="12" t="s">
        <v>168</v>
      </c>
      <c r="AD101" s="11" t="s">
        <v>44</v>
      </c>
      <c r="AE101" s="12" t="s">
        <v>45</v>
      </c>
      <c r="AF101" s="14">
        <f t="shared" si="0"/>
        <v>0.20988389999999998</v>
      </c>
      <c r="AG101" s="11" t="s">
        <v>86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2019-06-13T11:53:52Z</dcterms:modified>
</cp:coreProperties>
</file>