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71" i="1" l="1"/>
  <c r="S71" i="1"/>
  <c r="P71" i="1"/>
  <c r="N71" i="1"/>
  <c r="L71" i="1"/>
  <c r="AF70" i="1"/>
  <c r="S70" i="1"/>
  <c r="P70" i="1"/>
  <c r="N70" i="1"/>
  <c r="L70" i="1"/>
  <c r="AF69" i="1"/>
  <c r="S69" i="1"/>
  <c r="P69" i="1"/>
  <c r="N69" i="1"/>
  <c r="L69" i="1"/>
  <c r="AF68" i="1"/>
  <c r="S68" i="1"/>
  <c r="P68" i="1"/>
  <c r="N68" i="1"/>
  <c r="L68" i="1"/>
  <c r="AF67" i="1"/>
  <c r="S67" i="1"/>
  <c r="P67" i="1"/>
  <c r="N67" i="1"/>
  <c r="L67" i="1"/>
  <c r="AF66" i="1"/>
  <c r="S66" i="1"/>
  <c r="P66" i="1"/>
  <c r="N66" i="1"/>
  <c r="L66" i="1"/>
  <c r="AF65" i="1"/>
  <c r="S65" i="1"/>
  <c r="P65" i="1"/>
  <c r="N65" i="1"/>
  <c r="L65" i="1"/>
  <c r="AF64" i="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<sst xmlns="http://schemas.openxmlformats.org/spreadsheetml/2006/main" count="1013" uniqueCount="289">
  <si>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</si>
  <si>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</si>
  <si>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</si>
  <si>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</si>
  <si>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</si>
  <si>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</si>
  <si>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</si>
  <si>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</si>
  <si>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</si>
  <si>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</si>
  <si>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</si>
  <si>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</si>
  <si>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</si>
  <si>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</si>
  <si>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</si>
  <si>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</si>
  <si>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</si>
  <si>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</si>
  <si>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</si>
  <si>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</si>
  <si>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</si>
  <si>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</si>
  <si>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</si>
  <si>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</si>
  <si>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</si>
  <si>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</si>
  <si>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</si>
  <si>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</si>
  <si>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</si>
  <si>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</si>
  <si>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</si>
  <si>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</si>
  <si>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</si>
  <si>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</si>
  <si>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Rayapuram</t>
  </si>
  <si>
    <t>Jagajeevanram Nagara</t>
  </si>
  <si>
    <t>Chamaraja Pete</t>
  </si>
  <si>
    <t>West</t>
  </si>
  <si>
    <t>137-16-000020</t>
  </si>
  <si>
    <t>Repairs and Maintenance to damaged culverts and bad stretchesof roads in ward no 137</t>
  </si>
  <si>
    <t>Roads &amp; Drivablility</t>
  </si>
  <si>
    <t>HEMANTH KUMAR R</t>
  </si>
  <si>
    <t>P0190</t>
  </si>
  <si>
    <t>Works sanctioned by Hon Mayor</t>
  </si>
  <si>
    <t>ddo268</t>
  </si>
  <si>
    <t xml:space="preserve"> Assistant Executive Engineer J J R nagar West Zone</t>
  </si>
  <si>
    <t>Pending</t>
  </si>
  <si>
    <t>137-16-000017</t>
  </si>
  <si>
    <t>Repairs and Maintenance of drain at Padarayanapura surrounding area in ward no 137</t>
  </si>
  <si>
    <t>Footpaths &amp; Walkability</t>
  </si>
  <si>
    <t>137-17-000084</t>
  </si>
  <si>
    <t>Engagement of Gangman and Hiring of Tractor/Tippers for cleaning and maintenance of Road side drains and other cleaning works at 137</t>
  </si>
  <si>
    <t xml:space="preserve"> S.RAJENDRA.</t>
  </si>
  <si>
    <t>P3110</t>
  </si>
  <si>
    <t>14th Finance Commission Grant Works</t>
  </si>
  <si>
    <t>137-18-000026</t>
  </si>
  <si>
    <t>Providing and fixing water plant in ward no 137</t>
  </si>
  <si>
    <t>Drinking Water</t>
  </si>
  <si>
    <t>KRIDL</t>
  </si>
  <si>
    <t>P1878</t>
  </si>
  <si>
    <t>18per - Works (Bhagyajyothi, Sooru / Neeru Yojane and General) (54 Lakhs / New Wards)</t>
  </si>
  <si>
    <t>ddo205</t>
  </si>
  <si>
    <t xml:space="preserve"> Assistant Executive Engineer Chamarajpet West Zone</t>
  </si>
  <si>
    <t>137-18-000028</t>
  </si>
  <si>
    <t>Improvements to Drain and culverts at JJR nagar north surrounding area Rayapuram in ward no 137</t>
  </si>
  <si>
    <t>May</t>
  </si>
  <si>
    <t>137-17-000044</t>
  </si>
  <si>
    <t>Providing Bore well and water supply to BBMP Referral Hospital in ward no 137</t>
  </si>
  <si>
    <t>Water &amp; Sanitary</t>
  </si>
  <si>
    <t>Hemanth kumar R</t>
  </si>
  <si>
    <t>P0979</t>
  </si>
  <si>
    <t>M and R of Hospitals, Maternity Homes, Dispensary and Doctors Qtrs / Clinical Laboratories</t>
  </si>
  <si>
    <t>137-17-000043</t>
  </si>
  <si>
    <t>Providing Bore well and water supply to BBMP Staff nurse Quarters in ward no 137</t>
  </si>
  <si>
    <t>137-17-000061</t>
  </si>
  <si>
    <t>Repairs works to BBMP Buildings in ward jurisdiction in ward No. 137</t>
  </si>
  <si>
    <t>Other Ward Works</t>
  </si>
  <si>
    <t>P1771</t>
  </si>
  <si>
    <t>Zone Works - POW Works</t>
  </si>
  <si>
    <t>137-17-000059</t>
  </si>
  <si>
    <t>Providing New Borewell and water supply connection to Nagarakallu Temple and surrounding area in ward No. 137</t>
  </si>
  <si>
    <t>137-17-000045</t>
  </si>
  <si>
    <t>Providing Renovation works to BBMP doctor quarters in ward no 137</t>
  </si>
  <si>
    <t>Hemanth Kumar R</t>
  </si>
  <si>
    <t>June</t>
  </si>
  <si>
    <t>137-17-000012</t>
  </si>
  <si>
    <t>Providing fencing to BBMP land deside Ambedkar Bhavan in ward no 137</t>
  </si>
  <si>
    <t>Jayaraj</t>
  </si>
  <si>
    <t>P0607</t>
  </si>
  <si>
    <t>Fencing of BBMP Properties (Other than gardens, parks)</t>
  </si>
  <si>
    <t>137-17-000002</t>
  </si>
  <si>
    <t>Providing Fencing to BBMP property in JJR Nagar Main Road in ward no 137</t>
  </si>
  <si>
    <t>jayaraj</t>
  </si>
  <si>
    <t>137-16-000023</t>
  </si>
  <si>
    <t>Providing railings to northern side maramma temple main road in ward no 137</t>
  </si>
  <si>
    <t>S Rajendra</t>
  </si>
  <si>
    <t>P1973</t>
  </si>
  <si>
    <t>Pedestrain Conveniances (Footpath / Pedestrain Subway)</t>
  </si>
  <si>
    <t>137-16-000021</t>
  </si>
  <si>
    <t>Improvements to footpath at Sirsi circle to Rajkumar Statue at Binnymill road in ward no 137</t>
  </si>
  <si>
    <t>137-18-000015</t>
  </si>
  <si>
    <t>Improvements to road and drains and reconstruction of damaged culverts in Rayapuram and surrounding areas in ward no 137</t>
  </si>
  <si>
    <t>Ravikumar</t>
  </si>
  <si>
    <t>P3111</t>
  </si>
  <si>
    <t>State Finance Commission Untied Grant Works</t>
  </si>
  <si>
    <t>Current</t>
  </si>
  <si>
    <t>137-17-000060</t>
  </si>
  <si>
    <t>Repair and Maintanance works to Ambedkar Bhavana Building in ward No. 137</t>
  </si>
  <si>
    <t>137-16-000024</t>
  </si>
  <si>
    <t>Providing railings to southern side maramma temple main road in ward no 137</t>
  </si>
  <si>
    <t>AHLN Engineering &amp; Contracts Prop. Narayan Raj N</t>
  </si>
  <si>
    <t>Spill Over</t>
  </si>
  <si>
    <t>137-17-000010</t>
  </si>
  <si>
    <t>Providing fencing to V S Garden Park in ward no 137</t>
  </si>
  <si>
    <t>Trees, Parks &amp; Playgrounds</t>
  </si>
  <si>
    <t>P0290</t>
  </si>
  <si>
    <t>BBMP Assets - Fencing of Vacant BMP Land (including Parks, Playgrounds and Gardens)</t>
  </si>
  <si>
    <t>137-15-000018</t>
  </si>
  <si>
    <t>Construction of Toilets and other CC works at Annapoorneshwari Prayer hall in Emergency Works ward No. 137</t>
  </si>
  <si>
    <t>Health &amp; Sanitation</t>
  </si>
  <si>
    <t>Manju Kumar T</t>
  </si>
  <si>
    <t>July</t>
  </si>
  <si>
    <t>137-16-000028</t>
  </si>
  <si>
    <t>Improvements to CC road and Drains to 11th and 12th cross roads at V S Garden in ward no 137</t>
  </si>
  <si>
    <t>137-16-000026</t>
  </si>
  <si>
    <t>Improvement to CC road at other development works to JJR Nagar street in ward no 137</t>
  </si>
  <si>
    <t>P2178</t>
  </si>
  <si>
    <t>Works sanctioned by Dy. Mayor</t>
  </si>
  <si>
    <t>137-16-000027</t>
  </si>
  <si>
    <t>Improvement to drains and other development works at Rayapuram cross road in ward no 137</t>
  </si>
  <si>
    <t>137-18-000016</t>
  </si>
  <si>
    <t>Providing street light LED fittings with control switches and allied accessories in Rayapuram area in ward no 137</t>
  </si>
  <si>
    <t>Executive Engineer KRIDL</t>
  </si>
  <si>
    <t>ddo209</t>
  </si>
  <si>
    <t xml:space="preserve"> Assistant Executive Engineer Electrical West Zone</t>
  </si>
  <si>
    <t>August</t>
  </si>
  <si>
    <t>137-17-000004</t>
  </si>
  <si>
    <t>Desilting drains to VS Garden in ward no 137</t>
  </si>
  <si>
    <t>P0598</t>
  </si>
  <si>
    <t>Desilting of Tertiary drains</t>
  </si>
  <si>
    <t>137-17-000005</t>
  </si>
  <si>
    <t>Desilting drains to Padarayanapura in ward no 137</t>
  </si>
  <si>
    <t>137-17-000009</t>
  </si>
  <si>
    <t>Providing chain link fencing to V S Garden Play Ground in ward no 137</t>
  </si>
  <si>
    <t>137-17-000046</t>
  </si>
  <si>
    <t>Improvements to UGD works to BBMP Referral Hospital Quarters in ward no 137</t>
  </si>
  <si>
    <t>SRI MANJU KUMAR</t>
  </si>
  <si>
    <t>137-17-000006</t>
  </si>
  <si>
    <t>Desilting drains to IPD Salappa Layout in ward no 137</t>
  </si>
  <si>
    <t>137-17-000003</t>
  </si>
  <si>
    <t>Desilting drains to JJR Nagar North in ward no 137</t>
  </si>
  <si>
    <t>137-17-000011</t>
  </si>
  <si>
    <t>Providing fencing to J J R Nagar Play ground in ward no 137</t>
  </si>
  <si>
    <t>137-17-000081</t>
  </si>
  <si>
    <t>Construction of New toilet and repair to BBMP school and College building at JJR Nagar main road in ward no 137</t>
  </si>
  <si>
    <t>S,RAJENDRA.</t>
  </si>
  <si>
    <t>September</t>
  </si>
  <si>
    <t>137-17-000083</t>
  </si>
  <si>
    <t>Providing CC Camera at Garbage black spots in ward no 137</t>
  </si>
  <si>
    <t>Crime &amp; Safety</t>
  </si>
  <si>
    <t>137-16-000002</t>
  </si>
  <si>
    <t>Construction and Repairs to cross Drainages and Drains in jurisdiction in ward no 137</t>
  </si>
  <si>
    <t>R Chandru</t>
  </si>
  <si>
    <t>137-16-000006</t>
  </si>
  <si>
    <t>Improvements to roads in 2nd and 3rd cross 4th main Rayapuram and Surrounding area in ward no 137</t>
  </si>
  <si>
    <t>137-16-000005</t>
  </si>
  <si>
    <t>Improvements to roads and Drains in JJR nagar E Street and Surrounding area in ward no 137</t>
  </si>
  <si>
    <t>137-16-000004</t>
  </si>
  <si>
    <t>Improvements to roads and Drains in 1st amd 2nd cross, Ist main, V S Garden and Surrounding area in ward no 137</t>
  </si>
  <si>
    <t>137-16-000025</t>
  </si>
  <si>
    <t>Providing poles, LED fittings, cable control switch etc., at ward no 137</t>
  </si>
  <si>
    <t>The Technical Manager</t>
  </si>
  <si>
    <t>137-16-000010</t>
  </si>
  <si>
    <t>Ward Maintenance work by engaging Tractor and labours in ward - 137 for the year 2015-16</t>
  </si>
  <si>
    <t>T M Prakash</t>
  </si>
  <si>
    <t>October</t>
  </si>
  <si>
    <t>137-17-000062</t>
  </si>
  <si>
    <t>Providing and Installation of CC TV Cameras in ward No. 137</t>
  </si>
  <si>
    <t>Hemanth kumar</t>
  </si>
  <si>
    <t>137-17-000063</t>
  </si>
  <si>
    <t>Repairs, Maintanance and providing new Name Boards in Ward No. 137</t>
  </si>
  <si>
    <t>137-17-000058</t>
  </si>
  <si>
    <t>Repair and Maintanance to Damaged compund wall and other CC works at ranganatha colony in ward No. 137</t>
  </si>
  <si>
    <t>137-17-000057</t>
  </si>
  <si>
    <t>Repair and Maintanance to Damaged culverts and drains at ranganatha colony in ward No. 137</t>
  </si>
  <si>
    <t>137-17-000064</t>
  </si>
  <si>
    <t>Special Repairs to JJR Nagar Bus Stop and other works in ward No. 137</t>
  </si>
  <si>
    <t>Bus Shelter</t>
  </si>
  <si>
    <t>137-17-000074</t>
  </si>
  <si>
    <t>Comprehensive Development of Bad stretches Ranganatha Colony main road, Rayapuram main road, VS Garden main road and other main roads in ward no 137</t>
  </si>
  <si>
    <t>M S VENKATESH</t>
  </si>
  <si>
    <t>P3158</t>
  </si>
  <si>
    <t>SIP Infrastructure Project works</t>
  </si>
  <si>
    <t>November</t>
  </si>
  <si>
    <t>137-17-000100</t>
  </si>
  <si>
    <t>Drilling and commissioning of new borewells and pipeline laying works in ward No. 137</t>
  </si>
  <si>
    <t>P3075</t>
  </si>
  <si>
    <t>Special comprehensive development works in Bangalore city (Bangalore city in charge Minister Discretionary Grants)</t>
  </si>
  <si>
    <t>137-18-000008</t>
  </si>
  <si>
    <t>Renovation of Doctor Quarters-05 at Backside of Govt Maternity hospital in ward no 137</t>
  </si>
  <si>
    <t>137-17-000013</t>
  </si>
  <si>
    <t>Providing rain water harvesting works to BBMP in ward no 137</t>
  </si>
  <si>
    <t>Rain Water Harvestin</t>
  </si>
  <si>
    <t>P1868</t>
  </si>
  <si>
    <t>Rain Water Harvesting and Ground Water Recharging - Buildings / RSD</t>
  </si>
  <si>
    <t>137-18-000075</t>
  </si>
  <si>
    <t xml:space="preserve">Development works for Indira Canteen in ward no137 </t>
  </si>
  <si>
    <t>Indira Canteen</t>
  </si>
  <si>
    <t>P3106</t>
  </si>
  <si>
    <t>Nagarothana Works</t>
  </si>
  <si>
    <t>137-12-000004</t>
  </si>
  <si>
    <t>Remodelling of Secondary Storm Water drain from K.H.Ranganatha colony to Maternity Hospital in JJR Nagar from Ch.100m to 500m in ward No.137</t>
  </si>
  <si>
    <t>Storm Water Drains</t>
  </si>
  <si>
    <t>M/s.Deccan Engineers and Constructions</t>
  </si>
  <si>
    <t>P1579</t>
  </si>
  <si>
    <t>Covering Drains</t>
  </si>
  <si>
    <t>ddo313</t>
  </si>
  <si>
    <t xml:space="preserve"> Chief Engineer SWD Central Zone</t>
  </si>
  <si>
    <t>December</t>
  </si>
  <si>
    <t>137-15-000054</t>
  </si>
  <si>
    <t>Construction of First floor Building to Referral Hospital at JJR Nagar in ward no 137 Rayapura</t>
  </si>
  <si>
    <t>Public Amenities</t>
  </si>
  <si>
    <t>R Velayutham</t>
  </si>
  <si>
    <t>P3083</t>
  </si>
  <si>
    <t>Construction of Reffral Hospital in Ward No. 137</t>
  </si>
  <si>
    <t>ddo326</t>
  </si>
  <si>
    <t xml:space="preserve"> Executive Engineer SWM 1 Central Zone</t>
  </si>
  <si>
    <t>137-17-000029</t>
  </si>
  <si>
    <t>Balance portion and other Development works to Well Equipped BBMP Hospital at Rayapura in ward no 137 (Phase-3)</t>
  </si>
  <si>
    <t>P3173</t>
  </si>
  <si>
    <t>Special Development works in ward No.124, 185, 98, 188, 10, 14, 16, 30, 28, 37, 42, 130, 159, 65, 66, 73, 79, 80, 90, 95, 94, 89, 108, 111, 115, 97, 105, 131, 133, 119, 125, 137, 143, 124, 158, 138, 83, 166, 182, 129, 165, 161, 04, 88, 27, 31, 32, 52, 44, 26, 07, 183, 178, 187 (Rs.100 lakhs per ward)</t>
  </si>
  <si>
    <t>137-16-000007</t>
  </si>
  <si>
    <t>Pot hole filling and Maintenance of roads in ward 137 for the year 2015-16</t>
  </si>
  <si>
    <t>M S Venkatesh</t>
  </si>
  <si>
    <t>137-17-000008</t>
  </si>
  <si>
    <t>Providing LD street lights-sodiuym vapour street lights and control switches with allied accessories in Venkataswamy garden Padarayanapura and Salappa Badavane</t>
  </si>
  <si>
    <t>KRIDL The Technical Manager</t>
  </si>
  <si>
    <t>137-17-000007</t>
  </si>
  <si>
    <t>Providing LED street lights-Sodium vapour street lights and control switches with allied accessories in Rayapuram New Pension Loine Ranganatha colony and associated areas</t>
  </si>
  <si>
    <t>The Technical Manager KRIDL</t>
  </si>
  <si>
    <t>137-17-000065</t>
  </si>
  <si>
    <t xml:space="preserve">Emergency work, pot hole filling and Road Maintanance works in ward No. 137 for the year 2016-17 </t>
  </si>
  <si>
    <t>February</t>
  </si>
  <si>
    <t>137-18-000003</t>
  </si>
  <si>
    <t>Repairs to BBMP First Grade College in ward no 137</t>
  </si>
  <si>
    <t>Hemanth Kumar</t>
  </si>
  <si>
    <t>P1880</t>
  </si>
  <si>
    <t>Civil Works (Maintenance)</t>
  </si>
  <si>
    <t>137-18-000017</t>
  </si>
  <si>
    <t>Providing water supply connection and other works at V.S. Garden and surrounding area inward no 137.</t>
  </si>
  <si>
    <t xml:space="preserve">HEMANTH KUMAR R </t>
  </si>
  <si>
    <t>137-18-000034</t>
  </si>
  <si>
    <t>Providing Solar System to BBMP School College, Padarayanapura, in Ward No:137</t>
  </si>
  <si>
    <t>KRIDL WEST</t>
  </si>
  <si>
    <t>P3285</t>
  </si>
  <si>
    <t>M and R of School and College buildings</t>
  </si>
  <si>
    <t>137-18-000018</t>
  </si>
  <si>
    <t>Providing water supply connecion and other works at Ranganatha colony and Rayapuram in ward no 137.</t>
  </si>
  <si>
    <t>137-17-000071</t>
  </si>
  <si>
    <t>Providing water supply connection at ward juridiction in ward no-137</t>
  </si>
  <si>
    <t>P1802</t>
  </si>
  <si>
    <t>Water Supply New Areas</t>
  </si>
  <si>
    <t>137-18-000060</t>
  </si>
  <si>
    <t>Providing fire safety equipments to Padarayanapura Girls High School at ward no 137 (Other CC Works)</t>
  </si>
  <si>
    <t>P3264</t>
  </si>
  <si>
    <t>Providing Fire safety equipments in BBMP Schools and Colleges</t>
  </si>
  <si>
    <t>137-18-000033</t>
  </si>
  <si>
    <t>Construction/Renovation works to BBMP College Auditorium in Ward No-137</t>
  </si>
  <si>
    <t>P3284</t>
  </si>
  <si>
    <t>Construction/Upgradation of School and college buildings</t>
  </si>
  <si>
    <t>137-17-000066</t>
  </si>
  <si>
    <t>Providing drinking water through water tanks in summer seasons in ward jurisdiction in ward No. 137</t>
  </si>
  <si>
    <t>Vijaykumar Y</t>
  </si>
  <si>
    <t>137-18-000025</t>
  </si>
  <si>
    <t>Special development works to SC/ST colony at JJR nagar (North) in ward no 137</t>
  </si>
  <si>
    <t>137-18-000027</t>
  </si>
  <si>
    <t>Improvements to 1st 2nd and 3rd cross CC road culverts at JJR nagar (North) surrounding areas in ward no 137</t>
  </si>
  <si>
    <t>137-18-000032</t>
  </si>
  <si>
    <t>Providing Rainwater Harvesting works to BBMP Buildings in ward no 137</t>
  </si>
  <si>
    <t xml:space="preserve">R Jayaraj </t>
  </si>
  <si>
    <t>P3247</t>
  </si>
  <si>
    <t>Providing Rain water Harvesting in BBMP Buildings</t>
  </si>
  <si>
    <t>137-14-000026</t>
  </si>
  <si>
    <t xml:space="preserve">Consultancy services for the work of Constructioin of wall Equipped Hospital at JJR Nagar existing Referral Hospital premiss in ward no 137 Rayapura </t>
  </si>
  <si>
    <t>R.VELAYUTHAM</t>
  </si>
  <si>
    <t>P2411</t>
  </si>
  <si>
    <t>Construction of Hospital Building at Ward No. 137 (Est. Cost. Rs. 3 Cr.)</t>
  </si>
  <si>
    <t>137-18-000031</t>
  </si>
  <si>
    <t>Sinking of Borewell and water supply connection to Rayapuram Premises in ward no-137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</si>
</sst>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1"/>
  <sheetViews>
    <sheetView tabSelected="1" workbookViewId="0">
      <pane ySplit="1" topLeftCell="A2" activePane="bottomLeft" state="frozen"/>
      <selection activeCell="H1" sqref="H1"/>
      <selection pane="bottomLeft" activeCell="A2" sqref="A2:XFD71"/>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430</v>
      </c>
      <c r="B2" s="9" t="s">
        <v>33</v>
      </c>
      <c r="C2" s="10">
        <v>43200</v>
      </c>
      <c r="D2" s="11">
        <v>137</v>
      </c>
      <c r="E2" s="12" t="s">
        <v>34</v>
      </c>
      <c r="F2" s="12" t="s">
        <v>35</v>
      </c>
      <c r="G2" s="12" t="s">
        <v>36</v>
      </c>
      <c r="H2" s="12" t="s">
        <v>37</v>
      </c>
      <c r="I2" s="11" t="s">
        <v>38</v>
      </c>
      <c r="J2" s="12" t="s">
        <v>39</v>
      </c>
      <c r="K2" s="13" t="s">
        <v>40</v>
      </c>
      <c r="L2" s="11" t="str">
        <f>"000013"</f>
        <v>000013</v>
      </c>
      <c r="M2" s="10">
        <v>42537</v>
      </c>
      <c r="N2" s="11" t="str">
        <f>"000092"</f>
        <v>000092</v>
      </c>
      <c r="O2" s="10">
        <v>42576</v>
      </c>
      <c r="P2" s="11" t="str">
        <f>"000277"</f>
        <v>000277</v>
      </c>
      <c r="Q2" s="10">
        <v>42576</v>
      </c>
      <c r="R2" s="11">
        <v>16</v>
      </c>
      <c r="S2" s="11" t="str">
        <f>"000193"</f>
        <v>000193</v>
      </c>
      <c r="T2" s="10">
        <v>43194</v>
      </c>
      <c r="U2" s="14">
        <v>20.980219999999999</v>
      </c>
      <c r="V2" s="14">
        <v>2.79162</v>
      </c>
      <c r="W2" s="14">
        <v>18.188600000000001</v>
      </c>
      <c r="X2" s="11">
        <v>9</v>
      </c>
      <c r="Y2" s="10">
        <v>43200</v>
      </c>
      <c r="Z2" s="11">
        <v>9916950205</v>
      </c>
      <c r="AA2" s="12" t="s">
        <v>41</v>
      </c>
      <c r="AB2" s="11" t="s">
        <v>42</v>
      </c>
      <c r="AC2" s="12" t="s">
        <v>43</v>
      </c>
      <c r="AD2" s="11" t="s">
        <v>44</v>
      </c>
      <c r="AE2" s="12" t="s">
        <v>45</v>
      </c>
      <c r="AF2" s="14">
        <v>0.20980219999999999</v>
      </c>
      <c r="AG2" s="11" t="s">
        <v>46</v>
      </c>
    </row>
    <row r="3" spans="1:33" x14ac:dyDescent="0.2">
      <c r="A3" s="8">
        <v>431</v>
      </c>
      <c r="B3" s="9" t="s">
        <v>33</v>
      </c>
      <c r="C3" s="10">
        <v>43200</v>
      </c>
      <c r="D3" s="11">
        <v>137</v>
      </c>
      <c r="E3" s="12" t="s">
        <v>34</v>
      </c>
      <c r="F3" s="12" t="s">
        <v>35</v>
      </c>
      <c r="G3" s="12" t="s">
        <v>36</v>
      </c>
      <c r="H3" s="12" t="s">
        <v>37</v>
      </c>
      <c r="I3" s="11" t="s">
        <v>47</v>
      </c>
      <c r="J3" s="12" t="s">
        <v>48</v>
      </c>
      <c r="K3" s="13" t="s">
        <v>49</v>
      </c>
      <c r="L3" s="11" t="str">
        <f>"000014"</f>
        <v>000014</v>
      </c>
      <c r="M3" s="10">
        <v>42537</v>
      </c>
      <c r="N3" s="11" t="str">
        <f>"000085"</f>
        <v>000085</v>
      </c>
      <c r="O3" s="10">
        <v>42576</v>
      </c>
      <c r="P3" s="11" t="str">
        <f>"000281"</f>
        <v>000281</v>
      </c>
      <c r="Q3" s="10">
        <v>42576</v>
      </c>
      <c r="R3" s="11">
        <v>16</v>
      </c>
      <c r="S3" s="11" t="str">
        <f>"000194"</f>
        <v>000194</v>
      </c>
      <c r="T3" s="10">
        <v>43194</v>
      </c>
      <c r="U3" s="14">
        <v>10.49888</v>
      </c>
      <c r="V3" s="14">
        <v>1.3019000000000001</v>
      </c>
      <c r="W3" s="14">
        <v>9.1969799999999999</v>
      </c>
      <c r="X3" s="11">
        <v>9</v>
      </c>
      <c r="Y3" s="10">
        <v>43200</v>
      </c>
      <c r="Z3" s="11">
        <v>9916950205</v>
      </c>
      <c r="AA3" s="12" t="s">
        <v>41</v>
      </c>
      <c r="AB3" s="11" t="s">
        <v>42</v>
      </c>
      <c r="AC3" s="12" t="s">
        <v>43</v>
      </c>
      <c r="AD3" s="11" t="s">
        <v>44</v>
      </c>
      <c r="AE3" s="12" t="s">
        <v>45</v>
      </c>
      <c r="AF3" s="14">
        <v>0.10498879999999999</v>
      </c>
      <c r="AG3" s="11" t="s">
        <v>46</v>
      </c>
    </row>
    <row r="4" spans="1:33" x14ac:dyDescent="0.2">
      <c r="A4" s="8">
        <v>432</v>
      </c>
      <c r="B4" s="9" t="s">
        <v>33</v>
      </c>
      <c r="C4" s="10">
        <v>43200</v>
      </c>
      <c r="D4" s="11">
        <v>137</v>
      </c>
      <c r="E4" s="12" t="s">
        <v>34</v>
      </c>
      <c r="F4" s="12" t="s">
        <v>35</v>
      </c>
      <c r="G4" s="12" t="s">
        <v>36</v>
      </c>
      <c r="H4" s="12" t="s">
        <v>37</v>
      </c>
      <c r="I4" s="11" t="s">
        <v>50</v>
      </c>
      <c r="J4" s="12" t="s">
        <v>51</v>
      </c>
      <c r="K4" s="13" t="s">
        <v>49</v>
      </c>
      <c r="L4" s="11" t="str">
        <f>"000245"</f>
        <v>000245</v>
      </c>
      <c r="M4" s="10">
        <v>43175</v>
      </c>
      <c r="N4" s="11" t="str">
        <f>"000085"</f>
        <v>000085</v>
      </c>
      <c r="O4" s="10">
        <v>43175</v>
      </c>
      <c r="P4" s="11" t="str">
        <f>"000237"</f>
        <v>000237</v>
      </c>
      <c r="Q4" s="10">
        <v>43175</v>
      </c>
      <c r="R4" s="11">
        <v>17</v>
      </c>
      <c r="S4" s="11" t="str">
        <f>"000420"</f>
        <v>000420</v>
      </c>
      <c r="T4" s="10">
        <v>43199</v>
      </c>
      <c r="U4" s="14">
        <v>4.9834899999999998</v>
      </c>
      <c r="V4" s="14">
        <v>0.35381000000000001</v>
      </c>
      <c r="W4" s="14">
        <v>4.6296799999999996</v>
      </c>
      <c r="X4" s="11">
        <v>13</v>
      </c>
      <c r="Y4" s="10">
        <v>43200</v>
      </c>
      <c r="Z4" s="11">
        <v>9844874041</v>
      </c>
      <c r="AA4" s="12" t="s">
        <v>52</v>
      </c>
      <c r="AB4" s="11" t="s">
        <v>53</v>
      </c>
      <c r="AC4" s="12" t="s">
        <v>54</v>
      </c>
      <c r="AD4" s="11" t="s">
        <v>44</v>
      </c>
      <c r="AE4" s="12" t="s">
        <v>45</v>
      </c>
      <c r="AF4" s="14">
        <v>4.9834899999999994E-2</v>
      </c>
      <c r="AG4" s="11" t="s">
        <v>46</v>
      </c>
    </row>
    <row r="5" spans="1:33" x14ac:dyDescent="0.2">
      <c r="A5" s="8">
        <v>586</v>
      </c>
      <c r="B5" s="9" t="s">
        <v>33</v>
      </c>
      <c r="C5" s="10">
        <v>43213</v>
      </c>
      <c r="D5" s="11">
        <v>137</v>
      </c>
      <c r="E5" s="12" t="s">
        <v>34</v>
      </c>
      <c r="F5" s="12" t="s">
        <v>35</v>
      </c>
      <c r="G5" s="12" t="s">
        <v>36</v>
      </c>
      <c r="H5" s="12" t="s">
        <v>37</v>
      </c>
      <c r="I5" s="11" t="s">
        <v>55</v>
      </c>
      <c r="J5" s="12" t="s">
        <v>56</v>
      </c>
      <c r="K5" s="13" t="s">
        <v>57</v>
      </c>
      <c r="L5" s="11" t="str">
        <f>"000190"</f>
        <v>000190</v>
      </c>
      <c r="M5" s="10">
        <v>43150</v>
      </c>
      <c r="N5" s="11" t="str">
        <f>"000117"</f>
        <v>000117</v>
      </c>
      <c r="O5" s="10">
        <v>43151</v>
      </c>
      <c r="P5" s="11" t="str">
        <f>"000188"</f>
        <v>000188</v>
      </c>
      <c r="Q5" s="10">
        <v>43151</v>
      </c>
      <c r="R5" s="11">
        <v>18</v>
      </c>
      <c r="S5" s="11" t="str">
        <f>"000556"</f>
        <v>000556</v>
      </c>
      <c r="T5" s="10">
        <v>43203</v>
      </c>
      <c r="U5" s="14">
        <v>55.487389999999998</v>
      </c>
      <c r="V5" s="14">
        <v>6.8249399999999998</v>
      </c>
      <c r="W5" s="14">
        <v>48.66245</v>
      </c>
      <c r="X5" s="11">
        <v>21</v>
      </c>
      <c r="Y5" s="10">
        <v>43213</v>
      </c>
      <c r="Z5" s="11">
        <v>9916950205</v>
      </c>
      <c r="AA5" s="12" t="s">
        <v>58</v>
      </c>
      <c r="AB5" s="11" t="s">
        <v>59</v>
      </c>
      <c r="AC5" s="12" t="s">
        <v>60</v>
      </c>
      <c r="AD5" s="11" t="s">
        <v>61</v>
      </c>
      <c r="AE5" s="12" t="s">
        <v>62</v>
      </c>
      <c r="AF5" s="14">
        <v>0.55487390000000003</v>
      </c>
      <c r="AG5" s="11" t="s">
        <v>46</v>
      </c>
    </row>
    <row r="6" spans="1:33" x14ac:dyDescent="0.2">
      <c r="A6" s="8">
        <v>739</v>
      </c>
      <c r="B6" s="9" t="s">
        <v>33</v>
      </c>
      <c r="C6" s="10">
        <v>43216</v>
      </c>
      <c r="D6" s="11">
        <v>137</v>
      </c>
      <c r="E6" s="12" t="s">
        <v>34</v>
      </c>
      <c r="F6" s="12" t="s">
        <v>35</v>
      </c>
      <c r="G6" s="12" t="s">
        <v>36</v>
      </c>
      <c r="H6" s="12" t="s">
        <v>37</v>
      </c>
      <c r="I6" s="11" t="s">
        <v>63</v>
      </c>
      <c r="J6" s="12" t="s">
        <v>64</v>
      </c>
      <c r="K6" s="13" t="s">
        <v>49</v>
      </c>
      <c r="L6" s="11" t="str">
        <f>"000247"</f>
        <v>000247</v>
      </c>
      <c r="M6" s="10">
        <v>43182</v>
      </c>
      <c r="N6" s="11" t="str">
        <f>"000086"</f>
        <v>000086</v>
      </c>
      <c r="O6" s="10">
        <v>43182</v>
      </c>
      <c r="P6" s="11" t="str">
        <f>"000239"</f>
        <v>000239</v>
      </c>
      <c r="Q6" s="10">
        <v>43182</v>
      </c>
      <c r="R6" s="11">
        <v>18</v>
      </c>
      <c r="S6" s="11" t="str">
        <f>"000641"</f>
        <v>000641</v>
      </c>
      <c r="T6" s="10">
        <v>43214</v>
      </c>
      <c r="U6" s="14">
        <v>24.249400000000001</v>
      </c>
      <c r="V6" s="14">
        <v>2.74017</v>
      </c>
      <c r="W6" s="14">
        <v>21.509229999999999</v>
      </c>
      <c r="X6" s="11">
        <v>25</v>
      </c>
      <c r="Y6" s="10">
        <v>43216</v>
      </c>
      <c r="Z6" s="11">
        <v>9916950205</v>
      </c>
      <c r="AA6" s="12" t="s">
        <v>41</v>
      </c>
      <c r="AB6" s="11" t="s">
        <v>59</v>
      </c>
      <c r="AC6" s="12" t="s">
        <v>60</v>
      </c>
      <c r="AD6" s="11" t="s">
        <v>44</v>
      </c>
      <c r="AE6" s="12" t="s">
        <v>45</v>
      </c>
      <c r="AF6" s="14">
        <v>0.24249400000000002</v>
      </c>
      <c r="AG6" s="11" t="s">
        <v>46</v>
      </c>
    </row>
    <row r="7" spans="1:33" x14ac:dyDescent="0.2">
      <c r="A7" s="8">
        <v>1442</v>
      </c>
      <c r="B7" s="9" t="s">
        <v>65</v>
      </c>
      <c r="C7" s="10">
        <v>43242</v>
      </c>
      <c r="D7" s="11">
        <v>137</v>
      </c>
      <c r="E7" s="12" t="s">
        <v>34</v>
      </c>
      <c r="F7" s="12" t="s">
        <v>35</v>
      </c>
      <c r="G7" s="12" t="s">
        <v>36</v>
      </c>
      <c r="H7" s="12" t="s">
        <v>37</v>
      </c>
      <c r="I7" s="11" t="s">
        <v>66</v>
      </c>
      <c r="J7" s="12" t="s">
        <v>67</v>
      </c>
      <c r="K7" s="13" t="s">
        <v>68</v>
      </c>
      <c r="L7" s="11" t="str">
        <f>"100250"</f>
        <v>100250</v>
      </c>
      <c r="M7" s="10">
        <v>42812</v>
      </c>
      <c r="N7" s="11" t="str">
        <f>"000352"</f>
        <v>000352</v>
      </c>
      <c r="O7" s="10">
        <v>42853</v>
      </c>
      <c r="P7" s="11" t="str">
        <f>"000039"</f>
        <v>000039</v>
      </c>
      <c r="Q7" s="10">
        <v>42853</v>
      </c>
      <c r="R7" s="11">
        <v>17</v>
      </c>
      <c r="S7" s="11" t="str">
        <f>"001634"</f>
        <v>001634</v>
      </c>
      <c r="T7" s="10">
        <v>43239</v>
      </c>
      <c r="U7" s="14">
        <v>15.74516</v>
      </c>
      <c r="V7" s="14">
        <v>2.01539</v>
      </c>
      <c r="W7" s="14">
        <v>13.72977</v>
      </c>
      <c r="X7" s="11">
        <v>58</v>
      </c>
      <c r="Y7" s="10">
        <v>43242</v>
      </c>
      <c r="Z7" s="11">
        <v>9916950205</v>
      </c>
      <c r="AA7" s="12" t="s">
        <v>69</v>
      </c>
      <c r="AB7" s="11" t="s">
        <v>70</v>
      </c>
      <c r="AC7" s="12" t="s">
        <v>71</v>
      </c>
      <c r="AD7" s="11" t="s">
        <v>44</v>
      </c>
      <c r="AE7" s="12" t="s">
        <v>45</v>
      </c>
      <c r="AF7" s="14">
        <v>0.1574516</v>
      </c>
      <c r="AG7" s="11" t="s">
        <v>46</v>
      </c>
    </row>
    <row r="8" spans="1:33" x14ac:dyDescent="0.2">
      <c r="A8" s="8">
        <v>1443</v>
      </c>
      <c r="B8" s="9" t="s">
        <v>65</v>
      </c>
      <c r="C8" s="10">
        <v>43242</v>
      </c>
      <c r="D8" s="11">
        <v>137</v>
      </c>
      <c r="E8" s="12" t="s">
        <v>34</v>
      </c>
      <c r="F8" s="12" t="s">
        <v>35</v>
      </c>
      <c r="G8" s="12" t="s">
        <v>36</v>
      </c>
      <c r="H8" s="12" t="s">
        <v>37</v>
      </c>
      <c r="I8" s="11" t="s">
        <v>72</v>
      </c>
      <c r="J8" s="12" t="s">
        <v>73</v>
      </c>
      <c r="K8" s="13" t="s">
        <v>68</v>
      </c>
      <c r="L8" s="11" t="str">
        <f>"000263"</f>
        <v>000263</v>
      </c>
      <c r="M8" s="10">
        <v>42812</v>
      </c>
      <c r="N8" s="11" t="str">
        <f>"000361"</f>
        <v>000361</v>
      </c>
      <c r="O8" s="10">
        <v>42853</v>
      </c>
      <c r="P8" s="11" t="str">
        <f>"000042"</f>
        <v>000042</v>
      </c>
      <c r="Q8" s="10">
        <v>42853</v>
      </c>
      <c r="R8" s="11">
        <v>17</v>
      </c>
      <c r="S8" s="11" t="str">
        <f>"001635"</f>
        <v>001635</v>
      </c>
      <c r="T8" s="10">
        <v>43239</v>
      </c>
      <c r="U8" s="14">
        <v>15.73075</v>
      </c>
      <c r="V8" s="14">
        <v>2.01355</v>
      </c>
      <c r="W8" s="14">
        <v>13.7172</v>
      </c>
      <c r="X8" s="11">
        <v>58</v>
      </c>
      <c r="Y8" s="10">
        <v>43242</v>
      </c>
      <c r="Z8" s="11">
        <v>9916950205</v>
      </c>
      <c r="AA8" s="12" t="s">
        <v>69</v>
      </c>
      <c r="AB8" s="11" t="s">
        <v>70</v>
      </c>
      <c r="AC8" s="12" t="s">
        <v>71</v>
      </c>
      <c r="AD8" s="11" t="s">
        <v>44</v>
      </c>
      <c r="AE8" s="12" t="s">
        <v>45</v>
      </c>
      <c r="AF8" s="14">
        <v>0.15730750000000002</v>
      </c>
      <c r="AG8" s="11" t="s">
        <v>46</v>
      </c>
    </row>
    <row r="9" spans="1:33" x14ac:dyDescent="0.2">
      <c r="A9" s="8">
        <v>1444</v>
      </c>
      <c r="B9" s="9" t="s">
        <v>65</v>
      </c>
      <c r="C9" s="10">
        <v>43242</v>
      </c>
      <c r="D9" s="11">
        <v>137</v>
      </c>
      <c r="E9" s="12" t="s">
        <v>34</v>
      </c>
      <c r="F9" s="12" t="s">
        <v>35</v>
      </c>
      <c r="G9" s="12" t="s">
        <v>36</v>
      </c>
      <c r="H9" s="12" t="s">
        <v>37</v>
      </c>
      <c r="I9" s="11" t="s">
        <v>74</v>
      </c>
      <c r="J9" s="12" t="s">
        <v>75</v>
      </c>
      <c r="K9" s="13" t="s">
        <v>76</v>
      </c>
      <c r="L9" s="11" t="str">
        <f>"100196"</f>
        <v>100196</v>
      </c>
      <c r="M9" s="10">
        <v>42802</v>
      </c>
      <c r="N9" s="11" t="str">
        <f>"000374"</f>
        <v>000374</v>
      </c>
      <c r="O9" s="10">
        <v>42853</v>
      </c>
      <c r="P9" s="11" t="str">
        <f>"000048"</f>
        <v>000048</v>
      </c>
      <c r="Q9" s="10">
        <v>42853</v>
      </c>
      <c r="R9" s="11">
        <v>17</v>
      </c>
      <c r="S9" s="11" t="str">
        <f>"001636"</f>
        <v>001636</v>
      </c>
      <c r="T9" s="10">
        <v>43239</v>
      </c>
      <c r="U9" s="14">
        <v>10.494999999999999</v>
      </c>
      <c r="V9" s="14">
        <v>1.33287</v>
      </c>
      <c r="W9" s="14">
        <v>9.1621299999999994</v>
      </c>
      <c r="X9" s="11">
        <v>58</v>
      </c>
      <c r="Y9" s="10">
        <v>43242</v>
      </c>
      <c r="Z9" s="11">
        <v>9916950205</v>
      </c>
      <c r="AA9" s="12" t="s">
        <v>69</v>
      </c>
      <c r="AB9" s="11" t="s">
        <v>77</v>
      </c>
      <c r="AC9" s="12" t="s">
        <v>78</v>
      </c>
      <c r="AD9" s="11" t="s">
        <v>44</v>
      </c>
      <c r="AE9" s="12" t="s">
        <v>45</v>
      </c>
      <c r="AF9" s="14">
        <v>0.10494999999999999</v>
      </c>
      <c r="AG9" s="11" t="s">
        <v>46</v>
      </c>
    </row>
    <row r="10" spans="1:33" x14ac:dyDescent="0.2">
      <c r="A10" s="8">
        <v>1445</v>
      </c>
      <c r="B10" s="9" t="s">
        <v>65</v>
      </c>
      <c r="C10" s="10">
        <v>43242</v>
      </c>
      <c r="D10" s="11">
        <v>137</v>
      </c>
      <c r="E10" s="12" t="s">
        <v>34</v>
      </c>
      <c r="F10" s="12" t="s">
        <v>35</v>
      </c>
      <c r="G10" s="12" t="s">
        <v>36</v>
      </c>
      <c r="H10" s="12" t="s">
        <v>37</v>
      </c>
      <c r="I10" s="11" t="s">
        <v>79</v>
      </c>
      <c r="J10" s="12" t="s">
        <v>80</v>
      </c>
      <c r="K10" s="13" t="s">
        <v>68</v>
      </c>
      <c r="L10" s="11" t="str">
        <f>"000193"</f>
        <v>000193</v>
      </c>
      <c r="M10" s="10">
        <v>42812</v>
      </c>
      <c r="N10" s="11" t="str">
        <f>"000373"</f>
        <v>000373</v>
      </c>
      <c r="O10" s="10">
        <v>42853</v>
      </c>
      <c r="P10" s="11" t="str">
        <f>"000050"</f>
        <v>000050</v>
      </c>
      <c r="Q10" s="10">
        <v>42853</v>
      </c>
      <c r="R10" s="11">
        <v>17</v>
      </c>
      <c r="S10" s="11" t="str">
        <f>"001637"</f>
        <v>001637</v>
      </c>
      <c r="T10" s="10">
        <v>43239</v>
      </c>
      <c r="U10" s="14">
        <v>15.74619</v>
      </c>
      <c r="V10" s="14">
        <v>2.0155099999999999</v>
      </c>
      <c r="W10" s="14">
        <v>13.73068</v>
      </c>
      <c r="X10" s="11">
        <v>58</v>
      </c>
      <c r="Y10" s="10">
        <v>43242</v>
      </c>
      <c r="Z10" s="11">
        <v>9916950205</v>
      </c>
      <c r="AA10" s="12" t="s">
        <v>69</v>
      </c>
      <c r="AB10" s="11" t="s">
        <v>77</v>
      </c>
      <c r="AC10" s="12" t="s">
        <v>78</v>
      </c>
      <c r="AD10" s="11" t="s">
        <v>44</v>
      </c>
      <c r="AE10" s="12" t="s">
        <v>45</v>
      </c>
      <c r="AF10" s="14">
        <v>0.15746190000000002</v>
      </c>
      <c r="AG10" s="11" t="s">
        <v>46</v>
      </c>
    </row>
    <row r="11" spans="1:33" x14ac:dyDescent="0.2">
      <c r="A11" s="8">
        <v>1446</v>
      </c>
      <c r="B11" s="9" t="s">
        <v>65</v>
      </c>
      <c r="C11" s="10">
        <v>43242</v>
      </c>
      <c r="D11" s="11">
        <v>137</v>
      </c>
      <c r="E11" s="12" t="s">
        <v>34</v>
      </c>
      <c r="F11" s="12" t="s">
        <v>35</v>
      </c>
      <c r="G11" s="12" t="s">
        <v>36</v>
      </c>
      <c r="H11" s="12" t="s">
        <v>37</v>
      </c>
      <c r="I11" s="11" t="s">
        <v>81</v>
      </c>
      <c r="J11" s="12" t="s">
        <v>82</v>
      </c>
      <c r="K11" s="13" t="s">
        <v>76</v>
      </c>
      <c r="L11" s="11" t="str">
        <f>"000264"</f>
        <v>000264</v>
      </c>
      <c r="M11" s="10">
        <v>42812</v>
      </c>
      <c r="N11" s="11" t="str">
        <f>"000061"</f>
        <v>000061</v>
      </c>
      <c r="O11" s="10">
        <v>42853</v>
      </c>
      <c r="P11" s="11" t="str">
        <f>"000061"</f>
        <v>000061</v>
      </c>
      <c r="Q11" s="10">
        <v>42853</v>
      </c>
      <c r="R11" s="11">
        <v>17</v>
      </c>
      <c r="S11" s="11" t="str">
        <f>"001638"</f>
        <v>001638</v>
      </c>
      <c r="T11" s="10">
        <v>43239</v>
      </c>
      <c r="U11" s="14">
        <v>20.88016</v>
      </c>
      <c r="V11" s="14">
        <v>2.67266</v>
      </c>
      <c r="W11" s="14">
        <v>18.2075</v>
      </c>
      <c r="X11" s="11">
        <v>58</v>
      </c>
      <c r="Y11" s="10">
        <v>43242</v>
      </c>
      <c r="Z11" s="11">
        <v>9916950205</v>
      </c>
      <c r="AA11" s="12" t="s">
        <v>83</v>
      </c>
      <c r="AB11" s="11" t="s">
        <v>70</v>
      </c>
      <c r="AC11" s="12" t="s">
        <v>71</v>
      </c>
      <c r="AD11" s="11" t="s">
        <v>44</v>
      </c>
      <c r="AE11" s="12" t="s">
        <v>45</v>
      </c>
      <c r="AF11" s="14">
        <v>0.2088016</v>
      </c>
      <c r="AG11" s="11" t="s">
        <v>46</v>
      </c>
    </row>
    <row r="12" spans="1:33" x14ac:dyDescent="0.2">
      <c r="A12" s="8">
        <v>1671</v>
      </c>
      <c r="B12" s="9" t="s">
        <v>84</v>
      </c>
      <c r="C12" s="10">
        <v>43252</v>
      </c>
      <c r="D12" s="11">
        <v>137</v>
      </c>
      <c r="E12" s="12" t="s">
        <v>34</v>
      </c>
      <c r="F12" s="12" t="s">
        <v>35</v>
      </c>
      <c r="G12" s="12" t="s">
        <v>36</v>
      </c>
      <c r="H12" s="12" t="s">
        <v>37</v>
      </c>
      <c r="I12" s="11" t="s">
        <v>85</v>
      </c>
      <c r="J12" s="12" t="s">
        <v>86</v>
      </c>
      <c r="K12" s="13" t="s">
        <v>76</v>
      </c>
      <c r="L12" s="11" t="str">
        <f>"000105"</f>
        <v>000105</v>
      </c>
      <c r="M12" s="10">
        <v>42704</v>
      </c>
      <c r="N12" s="11" t="str">
        <f>"000350"</f>
        <v>000350</v>
      </c>
      <c r="O12" s="10">
        <v>42853</v>
      </c>
      <c r="P12" s="11" t="str">
        <f>"000670"</f>
        <v>000670</v>
      </c>
      <c r="Q12" s="10">
        <v>42765</v>
      </c>
      <c r="R12" s="11">
        <v>17</v>
      </c>
      <c r="S12" s="11" t="str">
        <f>"001844"</f>
        <v>001844</v>
      </c>
      <c r="T12" s="10">
        <v>43244</v>
      </c>
      <c r="U12" s="14">
        <v>3.9818600000000002</v>
      </c>
      <c r="V12" s="14">
        <v>0.46984999999999999</v>
      </c>
      <c r="W12" s="14">
        <v>3.5120100000000001</v>
      </c>
      <c r="X12" s="11">
        <v>65</v>
      </c>
      <c r="Y12" s="10">
        <v>43252</v>
      </c>
      <c r="Z12" s="11">
        <v>9916950205</v>
      </c>
      <c r="AA12" s="12" t="s">
        <v>87</v>
      </c>
      <c r="AB12" s="11" t="s">
        <v>88</v>
      </c>
      <c r="AC12" s="12" t="s">
        <v>89</v>
      </c>
      <c r="AD12" s="11" t="s">
        <v>44</v>
      </c>
      <c r="AE12" s="12" t="s">
        <v>45</v>
      </c>
      <c r="AF12" s="14">
        <v>3.9818600000000003E-2</v>
      </c>
      <c r="AG12" s="11" t="s">
        <v>46</v>
      </c>
    </row>
    <row r="13" spans="1:33" x14ac:dyDescent="0.2">
      <c r="A13" s="8">
        <v>1672</v>
      </c>
      <c r="B13" s="9" t="s">
        <v>84</v>
      </c>
      <c r="C13" s="10">
        <v>43252</v>
      </c>
      <c r="D13" s="11">
        <v>137</v>
      </c>
      <c r="E13" s="12" t="s">
        <v>34</v>
      </c>
      <c r="F13" s="12" t="s">
        <v>35</v>
      </c>
      <c r="G13" s="12" t="s">
        <v>36</v>
      </c>
      <c r="H13" s="12" t="s">
        <v>37</v>
      </c>
      <c r="I13" s="11" t="s">
        <v>90</v>
      </c>
      <c r="J13" s="12" t="s">
        <v>91</v>
      </c>
      <c r="K13" s="13" t="s">
        <v>76</v>
      </c>
      <c r="L13" s="11" t="str">
        <f>"100118"</f>
        <v>100118</v>
      </c>
      <c r="M13" s="10">
        <v>42704</v>
      </c>
      <c r="N13" s="11" t="str">
        <f>"000351"</f>
        <v>000351</v>
      </c>
      <c r="O13" s="10">
        <v>42853</v>
      </c>
      <c r="P13" s="11" t="str">
        <f>"000671"</f>
        <v>000671</v>
      </c>
      <c r="Q13" s="10">
        <v>42765</v>
      </c>
      <c r="R13" s="11">
        <v>17</v>
      </c>
      <c r="S13" s="11" t="str">
        <f>"001845"</f>
        <v>001845</v>
      </c>
      <c r="T13" s="10">
        <v>43244</v>
      </c>
      <c r="U13" s="14">
        <v>3.9846499999999998</v>
      </c>
      <c r="V13" s="14">
        <v>0.46621000000000001</v>
      </c>
      <c r="W13" s="14">
        <v>3.51844</v>
      </c>
      <c r="X13" s="11">
        <v>65</v>
      </c>
      <c r="Y13" s="10">
        <v>43252</v>
      </c>
      <c r="Z13" s="11">
        <v>9916950205</v>
      </c>
      <c r="AA13" s="12" t="s">
        <v>92</v>
      </c>
      <c r="AB13" s="11" t="s">
        <v>88</v>
      </c>
      <c r="AC13" s="12" t="s">
        <v>89</v>
      </c>
      <c r="AD13" s="11" t="s">
        <v>44</v>
      </c>
      <c r="AE13" s="12" t="s">
        <v>45</v>
      </c>
      <c r="AF13" s="14">
        <v>3.98465E-2</v>
      </c>
      <c r="AG13" s="11" t="s">
        <v>46</v>
      </c>
    </row>
    <row r="14" spans="1:33" x14ac:dyDescent="0.2">
      <c r="A14" s="8">
        <v>1875</v>
      </c>
      <c r="B14" s="9" t="s">
        <v>84</v>
      </c>
      <c r="C14" s="10">
        <v>43257</v>
      </c>
      <c r="D14" s="11">
        <v>137</v>
      </c>
      <c r="E14" s="12" t="s">
        <v>34</v>
      </c>
      <c r="F14" s="12" t="s">
        <v>35</v>
      </c>
      <c r="G14" s="12" t="s">
        <v>36</v>
      </c>
      <c r="H14" s="12" t="s">
        <v>37</v>
      </c>
      <c r="I14" s="11" t="s">
        <v>93</v>
      </c>
      <c r="J14" s="12" t="s">
        <v>94</v>
      </c>
      <c r="K14" s="13" t="s">
        <v>76</v>
      </c>
      <c r="L14" s="11" t="str">
        <f>"000048"</f>
        <v>000048</v>
      </c>
      <c r="M14" s="10">
        <v>42576</v>
      </c>
      <c r="N14" s="11" t="str">
        <f>"000155"</f>
        <v>000155</v>
      </c>
      <c r="O14" s="10">
        <v>42611</v>
      </c>
      <c r="P14" s="11" t="str">
        <f>"000459"</f>
        <v>000459</v>
      </c>
      <c r="Q14" s="10">
        <v>42627</v>
      </c>
      <c r="R14" s="11">
        <v>16</v>
      </c>
      <c r="S14" s="11" t="str">
        <f>"002144"</f>
        <v>002144</v>
      </c>
      <c r="T14" s="10">
        <v>43255</v>
      </c>
      <c r="U14" s="14">
        <v>19.651109999999999</v>
      </c>
      <c r="V14" s="14">
        <v>2.5135200000000002</v>
      </c>
      <c r="W14" s="14">
        <v>17.137589999999999</v>
      </c>
      <c r="X14" s="11">
        <v>71</v>
      </c>
      <c r="Y14" s="10">
        <v>43257</v>
      </c>
      <c r="Z14" s="11">
        <v>9916802955</v>
      </c>
      <c r="AA14" s="12" t="s">
        <v>95</v>
      </c>
      <c r="AB14" s="11" t="s">
        <v>96</v>
      </c>
      <c r="AC14" s="12" t="s">
        <v>97</v>
      </c>
      <c r="AD14" s="11" t="s">
        <v>44</v>
      </c>
      <c r="AE14" s="12" t="s">
        <v>45</v>
      </c>
      <c r="AF14" s="14">
        <v>0.19651109999999999</v>
      </c>
      <c r="AG14" s="11" t="s">
        <v>46</v>
      </c>
    </row>
    <row r="15" spans="1:33" x14ac:dyDescent="0.2">
      <c r="A15" s="8">
        <v>1876</v>
      </c>
      <c r="B15" s="9" t="s">
        <v>84</v>
      </c>
      <c r="C15" s="10">
        <v>43257</v>
      </c>
      <c r="D15" s="11">
        <v>137</v>
      </c>
      <c r="E15" s="12" t="s">
        <v>34</v>
      </c>
      <c r="F15" s="12" t="s">
        <v>35</v>
      </c>
      <c r="G15" s="12" t="s">
        <v>36</v>
      </c>
      <c r="H15" s="12" t="s">
        <v>37</v>
      </c>
      <c r="I15" s="11" t="s">
        <v>98</v>
      </c>
      <c r="J15" s="12" t="s">
        <v>99</v>
      </c>
      <c r="K15" s="13" t="s">
        <v>49</v>
      </c>
      <c r="L15" s="11" t="str">
        <f>"000047"</f>
        <v>000047</v>
      </c>
      <c r="M15" s="10">
        <v>42576</v>
      </c>
      <c r="N15" s="11" t="str">
        <f>"000156"</f>
        <v>000156</v>
      </c>
      <c r="O15" s="10">
        <v>42611</v>
      </c>
      <c r="P15" s="11" t="str">
        <f>"000460"</f>
        <v>000460</v>
      </c>
      <c r="Q15" s="10">
        <v>42627</v>
      </c>
      <c r="R15" s="11">
        <v>16</v>
      </c>
      <c r="S15" s="11" t="str">
        <f>"002145"</f>
        <v>002145</v>
      </c>
      <c r="T15" s="10">
        <v>43255</v>
      </c>
      <c r="U15" s="14">
        <v>20.89517</v>
      </c>
      <c r="V15" s="14">
        <v>2.7716500000000002</v>
      </c>
      <c r="W15" s="14">
        <v>18.123519999999999</v>
      </c>
      <c r="X15" s="11">
        <v>71</v>
      </c>
      <c r="Y15" s="10">
        <v>43257</v>
      </c>
      <c r="Z15" s="11">
        <v>9916802955</v>
      </c>
      <c r="AA15" s="12" t="s">
        <v>95</v>
      </c>
      <c r="AB15" s="11" t="s">
        <v>96</v>
      </c>
      <c r="AC15" s="12" t="s">
        <v>97</v>
      </c>
      <c r="AD15" s="11" t="s">
        <v>44</v>
      </c>
      <c r="AE15" s="12" t="s">
        <v>45</v>
      </c>
      <c r="AF15" s="14">
        <v>0.20895169999999999</v>
      </c>
      <c r="AG15" s="11" t="s">
        <v>46</v>
      </c>
    </row>
    <row r="16" spans="1:33" x14ac:dyDescent="0.2">
      <c r="A16" s="8">
        <v>1877</v>
      </c>
      <c r="B16" s="9" t="s">
        <v>84</v>
      </c>
      <c r="C16" s="10">
        <v>43257</v>
      </c>
      <c r="D16" s="11">
        <v>137</v>
      </c>
      <c r="E16" s="12" t="s">
        <v>34</v>
      </c>
      <c r="F16" s="12" t="s">
        <v>35</v>
      </c>
      <c r="G16" s="12" t="s">
        <v>36</v>
      </c>
      <c r="H16" s="12" t="s">
        <v>37</v>
      </c>
      <c r="I16" s="11" t="s">
        <v>100</v>
      </c>
      <c r="J16" s="12" t="s">
        <v>101</v>
      </c>
      <c r="K16" s="13" t="s">
        <v>40</v>
      </c>
      <c r="L16" s="11" t="str">
        <f>"000077"</f>
        <v>000077</v>
      </c>
      <c r="M16" s="10">
        <v>43217</v>
      </c>
      <c r="N16" s="11" t="str">
        <f>"000009"</f>
        <v>000009</v>
      </c>
      <c r="O16" s="10">
        <v>43217</v>
      </c>
      <c r="P16" s="11" t="str">
        <f>"000014"</f>
        <v>000014</v>
      </c>
      <c r="Q16" s="10">
        <v>43217</v>
      </c>
      <c r="R16" s="11">
        <v>18</v>
      </c>
      <c r="S16" s="11" t="str">
        <f>"002041"</f>
        <v>002041</v>
      </c>
      <c r="T16" s="10">
        <v>43249</v>
      </c>
      <c r="U16" s="14">
        <v>9.9864999999999995</v>
      </c>
      <c r="V16" s="14">
        <v>0.87878999999999996</v>
      </c>
      <c r="W16" s="14">
        <v>9.1077100000000009</v>
      </c>
      <c r="X16" s="11">
        <v>73</v>
      </c>
      <c r="Y16" s="10">
        <v>43257</v>
      </c>
      <c r="Z16" s="11">
        <v>8310147796</v>
      </c>
      <c r="AA16" s="12" t="s">
        <v>102</v>
      </c>
      <c r="AB16" s="11" t="s">
        <v>103</v>
      </c>
      <c r="AC16" s="12" t="s">
        <v>104</v>
      </c>
      <c r="AD16" s="11" t="s">
        <v>44</v>
      </c>
      <c r="AE16" s="12" t="s">
        <v>45</v>
      </c>
      <c r="AF16" s="14">
        <v>9.9864999999999995E-2</v>
      </c>
      <c r="AG16" s="11" t="s">
        <v>105</v>
      </c>
    </row>
    <row r="17" spans="1:33" x14ac:dyDescent="0.2">
      <c r="A17" s="8">
        <v>2046</v>
      </c>
      <c r="B17" s="9" t="s">
        <v>84</v>
      </c>
      <c r="C17" s="10">
        <v>43262</v>
      </c>
      <c r="D17" s="11">
        <v>137</v>
      </c>
      <c r="E17" s="12" t="s">
        <v>34</v>
      </c>
      <c r="F17" s="12" t="s">
        <v>35</v>
      </c>
      <c r="G17" s="12" t="s">
        <v>36</v>
      </c>
      <c r="H17" s="12" t="s">
        <v>37</v>
      </c>
      <c r="I17" s="11" t="s">
        <v>106</v>
      </c>
      <c r="J17" s="12" t="s">
        <v>107</v>
      </c>
      <c r="K17" s="13" t="s">
        <v>76</v>
      </c>
      <c r="L17" s="11" t="str">
        <f>"100191"</f>
        <v>100191</v>
      </c>
      <c r="M17" s="10">
        <v>42812</v>
      </c>
      <c r="N17" s="11" t="str">
        <f>"000357"</f>
        <v>000357</v>
      </c>
      <c r="O17" s="10">
        <v>42853</v>
      </c>
      <c r="P17" s="11" t="str">
        <f>"000037"</f>
        <v>000037</v>
      </c>
      <c r="Q17" s="10">
        <v>42853</v>
      </c>
      <c r="R17" s="11">
        <v>17</v>
      </c>
      <c r="S17" s="11" t="str">
        <f>"002336"</f>
        <v>002336</v>
      </c>
      <c r="T17" s="10">
        <v>43262</v>
      </c>
      <c r="U17" s="14">
        <v>20.995190000000001</v>
      </c>
      <c r="V17" s="14">
        <v>2.6663700000000001</v>
      </c>
      <c r="W17" s="14">
        <v>18.32882</v>
      </c>
      <c r="X17" s="11">
        <v>79</v>
      </c>
      <c r="Y17" s="10">
        <v>43262</v>
      </c>
      <c r="Z17" s="11">
        <v>9916950205</v>
      </c>
      <c r="AA17" s="12" t="s">
        <v>69</v>
      </c>
      <c r="AB17" s="11" t="s">
        <v>77</v>
      </c>
      <c r="AC17" s="12" t="s">
        <v>78</v>
      </c>
      <c r="AD17" s="11" t="s">
        <v>44</v>
      </c>
      <c r="AE17" s="12" t="s">
        <v>45</v>
      </c>
      <c r="AF17" s="14">
        <v>0.2099519</v>
      </c>
      <c r="AG17" s="11" t="s">
        <v>46</v>
      </c>
    </row>
    <row r="18" spans="1:33" x14ac:dyDescent="0.2">
      <c r="A18" s="8">
        <v>2047</v>
      </c>
      <c r="B18" s="9" t="s">
        <v>84</v>
      </c>
      <c r="C18" s="10">
        <v>43262</v>
      </c>
      <c r="D18" s="11">
        <v>137</v>
      </c>
      <c r="E18" s="12" t="s">
        <v>34</v>
      </c>
      <c r="F18" s="12" t="s">
        <v>35</v>
      </c>
      <c r="G18" s="12" t="s">
        <v>36</v>
      </c>
      <c r="H18" s="12" t="s">
        <v>37</v>
      </c>
      <c r="I18" s="11" t="s">
        <v>108</v>
      </c>
      <c r="J18" s="12" t="s">
        <v>109</v>
      </c>
      <c r="K18" s="13" t="s">
        <v>76</v>
      </c>
      <c r="L18" s="11" t="str">
        <f>"000050"</f>
        <v>000050</v>
      </c>
      <c r="M18" s="10">
        <v>43191</v>
      </c>
      <c r="N18" s="11" t="str">
        <f>"000170"</f>
        <v>000170</v>
      </c>
      <c r="O18" s="10">
        <v>42611</v>
      </c>
      <c r="P18" s="11" t="str">
        <f>"000471"</f>
        <v>000471</v>
      </c>
      <c r="Q18" s="10">
        <v>42628</v>
      </c>
      <c r="R18" s="11">
        <v>16</v>
      </c>
      <c r="S18" s="11" t="str">
        <f>"002300"</f>
        <v>002300</v>
      </c>
      <c r="T18" s="10">
        <v>43258</v>
      </c>
      <c r="U18" s="14">
        <v>14.885870000000001</v>
      </c>
      <c r="V18" s="14">
        <v>2.0085299999999999</v>
      </c>
      <c r="W18" s="14">
        <v>12.87734</v>
      </c>
      <c r="X18" s="11">
        <v>80</v>
      </c>
      <c r="Y18" s="10">
        <v>43262</v>
      </c>
      <c r="Z18" s="11">
        <v>9916802955</v>
      </c>
      <c r="AA18" s="12" t="s">
        <v>110</v>
      </c>
      <c r="AB18" s="11" t="s">
        <v>96</v>
      </c>
      <c r="AC18" s="12" t="s">
        <v>97</v>
      </c>
      <c r="AD18" s="11" t="s">
        <v>44</v>
      </c>
      <c r="AE18" s="12" t="s">
        <v>45</v>
      </c>
      <c r="AF18" s="14">
        <v>0.14885870000000001</v>
      </c>
      <c r="AG18" s="11" t="s">
        <v>111</v>
      </c>
    </row>
    <row r="19" spans="1:33" x14ac:dyDescent="0.2">
      <c r="A19" s="8">
        <v>2359</v>
      </c>
      <c r="B19" s="9" t="s">
        <v>84</v>
      </c>
      <c r="C19" s="10">
        <v>43269</v>
      </c>
      <c r="D19" s="11">
        <v>137</v>
      </c>
      <c r="E19" s="12" t="s">
        <v>34</v>
      </c>
      <c r="F19" s="12" t="s">
        <v>35</v>
      </c>
      <c r="G19" s="12" t="s">
        <v>36</v>
      </c>
      <c r="H19" s="12" t="s">
        <v>37</v>
      </c>
      <c r="I19" s="11" t="s">
        <v>112</v>
      </c>
      <c r="J19" s="12" t="s">
        <v>113</v>
      </c>
      <c r="K19" s="13" t="s">
        <v>114</v>
      </c>
      <c r="L19" s="11" t="str">
        <f>"000104"</f>
        <v>000104</v>
      </c>
      <c r="M19" s="10">
        <v>42704</v>
      </c>
      <c r="N19" s="11" t="str">
        <f>"000205"</f>
        <v>000205</v>
      </c>
      <c r="O19" s="10">
        <v>42916</v>
      </c>
      <c r="P19" s="11" t="str">
        <f>"000669"</f>
        <v>000669</v>
      </c>
      <c r="Q19" s="10">
        <v>42765</v>
      </c>
      <c r="R19" s="11">
        <v>17</v>
      </c>
      <c r="S19" s="11" t="str">
        <f>"002524"</f>
        <v>002524</v>
      </c>
      <c r="T19" s="10">
        <v>43264</v>
      </c>
      <c r="U19" s="14">
        <v>3.49858</v>
      </c>
      <c r="V19" s="14">
        <v>0.40933999999999998</v>
      </c>
      <c r="W19" s="14">
        <v>3.0892400000000002</v>
      </c>
      <c r="X19" s="11">
        <v>91</v>
      </c>
      <c r="Y19" s="10">
        <v>43269</v>
      </c>
      <c r="Z19" s="11">
        <v>9916950205</v>
      </c>
      <c r="AA19" s="12" t="s">
        <v>87</v>
      </c>
      <c r="AB19" s="11" t="s">
        <v>115</v>
      </c>
      <c r="AC19" s="12" t="s">
        <v>116</v>
      </c>
      <c r="AD19" s="11" t="s">
        <v>44</v>
      </c>
      <c r="AE19" s="12" t="s">
        <v>45</v>
      </c>
      <c r="AF19" s="14">
        <v>3.4985799999999997E-2</v>
      </c>
      <c r="AG19" s="11" t="s">
        <v>46</v>
      </c>
    </row>
    <row r="20" spans="1:33" x14ac:dyDescent="0.2">
      <c r="A20" s="8">
        <v>2594</v>
      </c>
      <c r="B20" s="9" t="s">
        <v>84</v>
      </c>
      <c r="C20" s="10">
        <v>43274</v>
      </c>
      <c r="D20" s="11">
        <v>137</v>
      </c>
      <c r="E20" s="12" t="s">
        <v>34</v>
      </c>
      <c r="F20" s="12" t="s">
        <v>35</v>
      </c>
      <c r="G20" s="12" t="s">
        <v>36</v>
      </c>
      <c r="H20" s="12" t="s">
        <v>37</v>
      </c>
      <c r="I20" s="11" t="s">
        <v>117</v>
      </c>
      <c r="J20" s="12" t="s">
        <v>118</v>
      </c>
      <c r="K20" s="13" t="s">
        <v>119</v>
      </c>
      <c r="L20" s="11" t="str">
        <f>"000299"</f>
        <v>000299</v>
      </c>
      <c r="M20" s="10">
        <v>42550</v>
      </c>
      <c r="N20" s="11" t="str">
        <f>"000208"</f>
        <v>000208</v>
      </c>
      <c r="O20" s="10">
        <v>42642</v>
      </c>
      <c r="P20" s="11" t="str">
        <f>"000553"</f>
        <v>000553</v>
      </c>
      <c r="Q20" s="10">
        <v>42643</v>
      </c>
      <c r="R20" s="11">
        <v>15</v>
      </c>
      <c r="S20" s="11" t="str">
        <f>"002629"</f>
        <v>002629</v>
      </c>
      <c r="T20" s="10">
        <v>43269</v>
      </c>
      <c r="U20" s="14">
        <v>7.7649600000000003</v>
      </c>
      <c r="V20" s="14">
        <v>1.01017</v>
      </c>
      <c r="W20" s="14">
        <v>6.7547899999999998</v>
      </c>
      <c r="X20" s="11">
        <v>99</v>
      </c>
      <c r="Y20" s="10">
        <v>43274</v>
      </c>
      <c r="Z20" s="11">
        <v>9886150510</v>
      </c>
      <c r="AA20" s="12" t="s">
        <v>120</v>
      </c>
      <c r="AB20" s="11" t="s">
        <v>77</v>
      </c>
      <c r="AC20" s="12" t="s">
        <v>78</v>
      </c>
      <c r="AD20" s="11" t="s">
        <v>44</v>
      </c>
      <c r="AE20" s="12" t="s">
        <v>45</v>
      </c>
      <c r="AF20" s="14">
        <v>7.7649599999999999E-2</v>
      </c>
      <c r="AG20" s="11" t="s">
        <v>46</v>
      </c>
    </row>
    <row r="21" spans="1:33" x14ac:dyDescent="0.2">
      <c r="A21" s="8">
        <v>3939</v>
      </c>
      <c r="B21" s="9" t="s">
        <v>121</v>
      </c>
      <c r="C21" s="10">
        <v>43305</v>
      </c>
      <c r="D21" s="11">
        <v>137</v>
      </c>
      <c r="E21" s="12" t="s">
        <v>34</v>
      </c>
      <c r="F21" s="12" t="s">
        <v>35</v>
      </c>
      <c r="G21" s="12" t="s">
        <v>36</v>
      </c>
      <c r="H21" s="12" t="s">
        <v>37</v>
      </c>
      <c r="I21" s="11" t="s">
        <v>122</v>
      </c>
      <c r="J21" s="12" t="s">
        <v>123</v>
      </c>
      <c r="K21" s="13" t="s">
        <v>49</v>
      </c>
      <c r="L21" s="11" t="str">
        <f>"100054"</f>
        <v>100054</v>
      </c>
      <c r="M21" s="10">
        <v>42646</v>
      </c>
      <c r="N21" s="11" t="str">
        <f>"000206"</f>
        <v>000206</v>
      </c>
      <c r="O21" s="10">
        <v>42853</v>
      </c>
      <c r="P21" s="11" t="str">
        <f>"000661"</f>
        <v>000661</v>
      </c>
      <c r="Q21" s="10">
        <v>42763</v>
      </c>
      <c r="R21" s="11">
        <v>16</v>
      </c>
      <c r="S21" s="11" t="str">
        <f>"004131"</f>
        <v>004131</v>
      </c>
      <c r="T21" s="10">
        <v>43301</v>
      </c>
      <c r="U21" s="14">
        <v>20.889620000000001</v>
      </c>
      <c r="V21" s="14">
        <v>2.69068</v>
      </c>
      <c r="W21" s="14">
        <v>18.19894</v>
      </c>
      <c r="X21" s="11">
        <v>139</v>
      </c>
      <c r="Y21" s="10">
        <v>43305</v>
      </c>
      <c r="Z21" s="11">
        <v>9916950205</v>
      </c>
      <c r="AA21" s="12" t="s">
        <v>69</v>
      </c>
      <c r="AB21" s="11" t="s">
        <v>42</v>
      </c>
      <c r="AC21" s="12" t="s">
        <v>43</v>
      </c>
      <c r="AD21" s="11" t="s">
        <v>44</v>
      </c>
      <c r="AE21" s="12" t="s">
        <v>45</v>
      </c>
      <c r="AF21" s="14">
        <v>0.2088962</v>
      </c>
      <c r="AG21" s="11" t="s">
        <v>46</v>
      </c>
    </row>
    <row r="22" spans="1:33" x14ac:dyDescent="0.2">
      <c r="A22" s="8">
        <v>3940</v>
      </c>
      <c r="B22" s="9" t="s">
        <v>121</v>
      </c>
      <c r="C22" s="10">
        <v>43305</v>
      </c>
      <c r="D22" s="11">
        <v>137</v>
      </c>
      <c r="E22" s="12" t="s">
        <v>34</v>
      </c>
      <c r="F22" s="12" t="s">
        <v>35</v>
      </c>
      <c r="G22" s="12" t="s">
        <v>36</v>
      </c>
      <c r="H22" s="12" t="s">
        <v>37</v>
      </c>
      <c r="I22" s="11" t="s">
        <v>124</v>
      </c>
      <c r="J22" s="12" t="s">
        <v>125</v>
      </c>
      <c r="K22" s="13" t="s">
        <v>40</v>
      </c>
      <c r="L22" s="11" t="str">
        <f>"100055"</f>
        <v>100055</v>
      </c>
      <c r="M22" s="10">
        <v>42646</v>
      </c>
      <c r="N22" s="11" t="str">
        <f>"000370"</f>
        <v>000370</v>
      </c>
      <c r="O22" s="10">
        <v>42765</v>
      </c>
      <c r="P22" s="11" t="str">
        <f>"000673"</f>
        <v>000673</v>
      </c>
      <c r="Q22" s="10">
        <v>42765</v>
      </c>
      <c r="R22" s="11">
        <v>16</v>
      </c>
      <c r="S22" s="11" t="str">
        <f>"004139"</f>
        <v>004139</v>
      </c>
      <c r="T22" s="10">
        <v>43301</v>
      </c>
      <c r="U22" s="14">
        <v>20.994949999999999</v>
      </c>
      <c r="V22" s="14">
        <v>2.7047500000000002</v>
      </c>
      <c r="W22" s="14">
        <v>18.290199999999999</v>
      </c>
      <c r="X22" s="11">
        <v>139</v>
      </c>
      <c r="Y22" s="10">
        <v>43305</v>
      </c>
      <c r="Z22" s="11">
        <v>9916950205</v>
      </c>
      <c r="AA22" s="12" t="s">
        <v>69</v>
      </c>
      <c r="AB22" s="11" t="s">
        <v>126</v>
      </c>
      <c r="AC22" s="12" t="s">
        <v>127</v>
      </c>
      <c r="AD22" s="11" t="s">
        <v>44</v>
      </c>
      <c r="AE22" s="12" t="s">
        <v>45</v>
      </c>
      <c r="AF22" s="14">
        <v>0.20994949999999998</v>
      </c>
      <c r="AG22" s="11" t="s">
        <v>46</v>
      </c>
    </row>
    <row r="23" spans="1:33" x14ac:dyDescent="0.2">
      <c r="A23" s="8">
        <v>3941</v>
      </c>
      <c r="B23" s="9" t="s">
        <v>121</v>
      </c>
      <c r="C23" s="10">
        <v>43305</v>
      </c>
      <c r="D23" s="11">
        <v>137</v>
      </c>
      <c r="E23" s="12" t="s">
        <v>34</v>
      </c>
      <c r="F23" s="12" t="s">
        <v>35</v>
      </c>
      <c r="G23" s="12" t="s">
        <v>36</v>
      </c>
      <c r="H23" s="12" t="s">
        <v>37</v>
      </c>
      <c r="I23" s="11" t="s">
        <v>128</v>
      </c>
      <c r="J23" s="12" t="s">
        <v>129</v>
      </c>
      <c r="K23" s="13" t="s">
        <v>49</v>
      </c>
      <c r="L23" s="11" t="str">
        <f>"100053"</f>
        <v>100053</v>
      </c>
      <c r="M23" s="10">
        <v>42646</v>
      </c>
      <c r="N23" s="11" t="str">
        <f>"000372"</f>
        <v>000372</v>
      </c>
      <c r="O23" s="10">
        <v>42765</v>
      </c>
      <c r="P23" s="11" t="str">
        <f>"000674"</f>
        <v>000674</v>
      </c>
      <c r="Q23" s="10">
        <v>42765</v>
      </c>
      <c r="R23" s="11">
        <v>16</v>
      </c>
      <c r="S23" s="11" t="str">
        <f>"004140"</f>
        <v>004140</v>
      </c>
      <c r="T23" s="10">
        <v>43301</v>
      </c>
      <c r="U23" s="14">
        <v>20.963650000000001</v>
      </c>
      <c r="V23" s="14">
        <v>2.6797900000000001</v>
      </c>
      <c r="W23" s="14">
        <v>18.283860000000001</v>
      </c>
      <c r="X23" s="11">
        <v>139</v>
      </c>
      <c r="Y23" s="10">
        <v>43305</v>
      </c>
      <c r="Z23" s="11">
        <v>9916950205</v>
      </c>
      <c r="AA23" s="12" t="s">
        <v>69</v>
      </c>
      <c r="AB23" s="11" t="s">
        <v>126</v>
      </c>
      <c r="AC23" s="12" t="s">
        <v>127</v>
      </c>
      <c r="AD23" s="11" t="s">
        <v>44</v>
      </c>
      <c r="AE23" s="12" t="s">
        <v>45</v>
      </c>
      <c r="AF23" s="14">
        <v>0.2096365</v>
      </c>
      <c r="AG23" s="11" t="s">
        <v>46</v>
      </c>
    </row>
    <row r="24" spans="1:33" x14ac:dyDescent="0.2">
      <c r="A24" s="8">
        <v>4147</v>
      </c>
      <c r="B24" s="9" t="s">
        <v>121</v>
      </c>
      <c r="C24" s="10">
        <v>43308</v>
      </c>
      <c r="D24" s="11">
        <v>137</v>
      </c>
      <c r="E24" s="12" t="s">
        <v>34</v>
      </c>
      <c r="F24" s="12" t="s">
        <v>35</v>
      </c>
      <c r="G24" s="12" t="s">
        <v>36</v>
      </c>
      <c r="H24" s="12" t="s">
        <v>37</v>
      </c>
      <c r="I24" s="11" t="s">
        <v>50</v>
      </c>
      <c r="J24" s="12" t="s">
        <v>51</v>
      </c>
      <c r="K24" s="13" t="s">
        <v>49</v>
      </c>
      <c r="L24" s="11" t="str">
        <f>"000245"</f>
        <v>000245</v>
      </c>
      <c r="M24" s="10">
        <v>43175</v>
      </c>
      <c r="N24" s="11" t="str">
        <f>"000076"</f>
        <v>000076</v>
      </c>
      <c r="O24" s="10">
        <v>43293</v>
      </c>
      <c r="P24" s="11" t="str">
        <f>"000147"</f>
        <v>000147</v>
      </c>
      <c r="Q24" s="10">
        <v>43293</v>
      </c>
      <c r="R24" s="11">
        <v>17</v>
      </c>
      <c r="S24" s="11" t="str">
        <f>"004371"</f>
        <v>004371</v>
      </c>
      <c r="T24" s="10">
        <v>43306</v>
      </c>
      <c r="U24" s="14">
        <v>4.0271600000000003</v>
      </c>
      <c r="V24" s="14">
        <v>0.28592000000000001</v>
      </c>
      <c r="W24" s="14">
        <v>3.7412399999999999</v>
      </c>
      <c r="X24" s="11">
        <v>143</v>
      </c>
      <c r="Y24" s="10">
        <v>43308</v>
      </c>
      <c r="Z24" s="11">
        <v>9844874041</v>
      </c>
      <c r="AA24" s="12" t="s">
        <v>52</v>
      </c>
      <c r="AB24" s="11" t="s">
        <v>53</v>
      </c>
      <c r="AC24" s="12" t="s">
        <v>54</v>
      </c>
      <c r="AD24" s="11" t="s">
        <v>44</v>
      </c>
      <c r="AE24" s="12" t="s">
        <v>45</v>
      </c>
      <c r="AF24" s="14">
        <v>4.0271600000000005E-2</v>
      </c>
      <c r="AG24" s="11" t="s">
        <v>111</v>
      </c>
    </row>
    <row r="25" spans="1:33" x14ac:dyDescent="0.2">
      <c r="A25" s="8">
        <v>4148</v>
      </c>
      <c r="B25" s="9" t="s">
        <v>121</v>
      </c>
      <c r="C25" s="10">
        <v>43308</v>
      </c>
      <c r="D25" s="11">
        <v>137</v>
      </c>
      <c r="E25" s="12" t="s">
        <v>34</v>
      </c>
      <c r="F25" s="12" t="s">
        <v>35</v>
      </c>
      <c r="G25" s="12" t="s">
        <v>36</v>
      </c>
      <c r="H25" s="12" t="s">
        <v>37</v>
      </c>
      <c r="I25" s="11" t="s">
        <v>130</v>
      </c>
      <c r="J25" s="12" t="s">
        <v>131</v>
      </c>
      <c r="K25" s="13" t="s">
        <v>49</v>
      </c>
      <c r="L25" s="11" t="str">
        <f>"000145"</f>
        <v>000145</v>
      </c>
      <c r="M25" s="10">
        <v>43166</v>
      </c>
      <c r="N25" s="11" t="str">
        <f>"000029"</f>
        <v>000029</v>
      </c>
      <c r="O25" s="10">
        <v>43255</v>
      </c>
      <c r="P25" s="11" t="str">
        <f>"000029"</f>
        <v>000029</v>
      </c>
      <c r="Q25" s="10">
        <v>43255</v>
      </c>
      <c r="R25" s="11">
        <v>18</v>
      </c>
      <c r="S25" s="11" t="str">
        <f>"004412"</f>
        <v>004412</v>
      </c>
      <c r="T25" s="10">
        <v>43306</v>
      </c>
      <c r="U25" s="14">
        <v>24.941469999999999</v>
      </c>
      <c r="V25" s="14">
        <v>2.6437900000000001</v>
      </c>
      <c r="W25" s="14">
        <v>22.29768</v>
      </c>
      <c r="X25" s="11">
        <v>145</v>
      </c>
      <c r="Y25" s="10">
        <v>43308</v>
      </c>
      <c r="Z25" s="11">
        <v>9141395491</v>
      </c>
      <c r="AA25" s="12" t="s">
        <v>132</v>
      </c>
      <c r="AB25" s="11" t="s">
        <v>103</v>
      </c>
      <c r="AC25" s="12" t="s">
        <v>104</v>
      </c>
      <c r="AD25" s="11" t="s">
        <v>133</v>
      </c>
      <c r="AE25" s="12" t="s">
        <v>134</v>
      </c>
      <c r="AF25" s="14">
        <v>0.24941469999999999</v>
      </c>
      <c r="AG25" s="11" t="s">
        <v>111</v>
      </c>
    </row>
    <row r="26" spans="1:33" x14ac:dyDescent="0.2">
      <c r="A26" s="8">
        <v>4312</v>
      </c>
      <c r="B26" s="9" t="s">
        <v>135</v>
      </c>
      <c r="C26" s="10">
        <v>43315</v>
      </c>
      <c r="D26" s="11">
        <v>137</v>
      </c>
      <c r="E26" s="12" t="s">
        <v>34</v>
      </c>
      <c r="F26" s="12" t="s">
        <v>35</v>
      </c>
      <c r="G26" s="12" t="s">
        <v>36</v>
      </c>
      <c r="H26" s="12" t="s">
        <v>37</v>
      </c>
      <c r="I26" s="11" t="s">
        <v>136</v>
      </c>
      <c r="J26" s="12" t="s">
        <v>137</v>
      </c>
      <c r="K26" s="13" t="s">
        <v>49</v>
      </c>
      <c r="L26" s="11" t="str">
        <f>"100117"</f>
        <v>100117</v>
      </c>
      <c r="M26" s="10">
        <v>42704</v>
      </c>
      <c r="N26" s="11" t="str">
        <f>"000203"</f>
        <v>000203</v>
      </c>
      <c r="O26" s="10">
        <v>42916</v>
      </c>
      <c r="P26" s="11" t="str">
        <f>"000657"</f>
        <v>000657</v>
      </c>
      <c r="Q26" s="10">
        <v>42763</v>
      </c>
      <c r="R26" s="11">
        <v>17</v>
      </c>
      <c r="S26" s="11" t="str">
        <f>"004491"</f>
        <v>004491</v>
      </c>
      <c r="T26" s="10">
        <v>43308</v>
      </c>
      <c r="U26" s="14">
        <v>4.9811699999999997</v>
      </c>
      <c r="V26" s="14">
        <v>0.58777999999999997</v>
      </c>
      <c r="W26" s="14">
        <v>4.3933900000000001</v>
      </c>
      <c r="X26" s="11">
        <v>152</v>
      </c>
      <c r="Y26" s="10">
        <v>43315</v>
      </c>
      <c r="Z26" s="11">
        <v>9916950205</v>
      </c>
      <c r="AA26" s="12" t="s">
        <v>87</v>
      </c>
      <c r="AB26" s="11" t="s">
        <v>138</v>
      </c>
      <c r="AC26" s="12" t="s">
        <v>139</v>
      </c>
      <c r="AD26" s="11" t="s">
        <v>44</v>
      </c>
      <c r="AE26" s="12" t="s">
        <v>45</v>
      </c>
      <c r="AF26" s="14">
        <v>4.9811699999999993E-2</v>
      </c>
      <c r="AG26" s="11" t="s">
        <v>46</v>
      </c>
    </row>
    <row r="27" spans="1:33" x14ac:dyDescent="0.2">
      <c r="A27" s="8">
        <v>4313</v>
      </c>
      <c r="B27" s="9" t="s">
        <v>135</v>
      </c>
      <c r="C27" s="10">
        <v>43315</v>
      </c>
      <c r="D27" s="11">
        <v>137</v>
      </c>
      <c r="E27" s="12" t="s">
        <v>34</v>
      </c>
      <c r="F27" s="12" t="s">
        <v>35</v>
      </c>
      <c r="G27" s="12" t="s">
        <v>36</v>
      </c>
      <c r="H27" s="12" t="s">
        <v>37</v>
      </c>
      <c r="I27" s="11" t="s">
        <v>140</v>
      </c>
      <c r="J27" s="12" t="s">
        <v>141</v>
      </c>
      <c r="K27" s="13" t="s">
        <v>49</v>
      </c>
      <c r="L27" s="11" t="str">
        <f>"000116"</f>
        <v>000116</v>
      </c>
      <c r="M27" s="10">
        <v>42704</v>
      </c>
      <c r="N27" s="11" t="str">
        <f>"000208"</f>
        <v>000208</v>
      </c>
      <c r="O27" s="10">
        <v>42853</v>
      </c>
      <c r="P27" s="11" t="str">
        <f>"000659"</f>
        <v>000659</v>
      </c>
      <c r="Q27" s="10">
        <v>42763</v>
      </c>
      <c r="R27" s="11">
        <v>17</v>
      </c>
      <c r="S27" s="11" t="str">
        <f>"004492"</f>
        <v>004492</v>
      </c>
      <c r="T27" s="10">
        <v>43308</v>
      </c>
      <c r="U27" s="14">
        <v>4.9817099999999996</v>
      </c>
      <c r="V27" s="14">
        <v>0.58784999999999998</v>
      </c>
      <c r="W27" s="14">
        <v>4.3938600000000001</v>
      </c>
      <c r="X27" s="11">
        <v>152</v>
      </c>
      <c r="Y27" s="10">
        <v>43315</v>
      </c>
      <c r="Z27" s="11">
        <v>9916950205</v>
      </c>
      <c r="AA27" s="12" t="s">
        <v>92</v>
      </c>
      <c r="AB27" s="11" t="s">
        <v>138</v>
      </c>
      <c r="AC27" s="12" t="s">
        <v>139</v>
      </c>
      <c r="AD27" s="11" t="s">
        <v>44</v>
      </c>
      <c r="AE27" s="12" t="s">
        <v>45</v>
      </c>
      <c r="AF27" s="14">
        <v>4.9817099999999996E-2</v>
      </c>
      <c r="AG27" s="11" t="s">
        <v>46</v>
      </c>
    </row>
    <row r="28" spans="1:33" x14ac:dyDescent="0.2">
      <c r="A28" s="8">
        <v>4314</v>
      </c>
      <c r="B28" s="9" t="s">
        <v>135</v>
      </c>
      <c r="C28" s="10">
        <v>43315</v>
      </c>
      <c r="D28" s="11">
        <v>137</v>
      </c>
      <c r="E28" s="12" t="s">
        <v>34</v>
      </c>
      <c r="F28" s="12" t="s">
        <v>35</v>
      </c>
      <c r="G28" s="12" t="s">
        <v>36</v>
      </c>
      <c r="H28" s="12" t="s">
        <v>37</v>
      </c>
      <c r="I28" s="11" t="s">
        <v>142</v>
      </c>
      <c r="J28" s="12" t="s">
        <v>143</v>
      </c>
      <c r="K28" s="13" t="s">
        <v>114</v>
      </c>
      <c r="L28" s="11" t="str">
        <f>"100120"</f>
        <v>100120</v>
      </c>
      <c r="M28" s="10">
        <v>42704</v>
      </c>
      <c r="N28" s="11" t="str">
        <f>"000360"</f>
        <v>000360</v>
      </c>
      <c r="O28" s="10">
        <v>42853</v>
      </c>
      <c r="P28" s="11" t="str">
        <f>"000660"</f>
        <v>000660</v>
      </c>
      <c r="Q28" s="10">
        <v>42763</v>
      </c>
      <c r="R28" s="11">
        <v>17</v>
      </c>
      <c r="S28" s="11" t="str">
        <f>"004521"</f>
        <v>004521</v>
      </c>
      <c r="T28" s="10">
        <v>43309</v>
      </c>
      <c r="U28" s="14">
        <v>20.88015</v>
      </c>
      <c r="V28" s="14">
        <v>2.67266</v>
      </c>
      <c r="W28" s="14">
        <v>18.20749</v>
      </c>
      <c r="X28" s="11">
        <v>152</v>
      </c>
      <c r="Y28" s="10">
        <v>43315</v>
      </c>
      <c r="Z28" s="11">
        <v>9916950205</v>
      </c>
      <c r="AA28" s="12" t="s">
        <v>69</v>
      </c>
      <c r="AB28" s="11" t="s">
        <v>115</v>
      </c>
      <c r="AC28" s="12" t="s">
        <v>116</v>
      </c>
      <c r="AD28" s="11" t="s">
        <v>44</v>
      </c>
      <c r="AE28" s="12" t="s">
        <v>45</v>
      </c>
      <c r="AF28" s="14">
        <v>0.2088015</v>
      </c>
      <c r="AG28" s="11" t="s">
        <v>46</v>
      </c>
    </row>
    <row r="29" spans="1:33" x14ac:dyDescent="0.2">
      <c r="A29" s="8">
        <v>4548</v>
      </c>
      <c r="B29" s="9" t="s">
        <v>135</v>
      </c>
      <c r="C29" s="10">
        <v>43318</v>
      </c>
      <c r="D29" s="11">
        <v>137</v>
      </c>
      <c r="E29" s="12" t="s">
        <v>34</v>
      </c>
      <c r="F29" s="12" t="s">
        <v>35</v>
      </c>
      <c r="G29" s="12" t="s">
        <v>36</v>
      </c>
      <c r="H29" s="12" t="s">
        <v>37</v>
      </c>
      <c r="I29" s="11" t="s">
        <v>144</v>
      </c>
      <c r="J29" s="12" t="s">
        <v>145</v>
      </c>
      <c r="K29" s="13" t="s">
        <v>68</v>
      </c>
      <c r="L29" s="11" t="str">
        <f>"000071"</f>
        <v>000071</v>
      </c>
      <c r="M29" s="10">
        <v>42887</v>
      </c>
      <c r="N29" s="11" t="str">
        <f>"000280"</f>
        <v>000280</v>
      </c>
      <c r="O29" s="10">
        <v>42916</v>
      </c>
      <c r="P29" s="11" t="str">
        <f>"000287"</f>
        <v>000287</v>
      </c>
      <c r="Q29" s="10">
        <v>42916</v>
      </c>
      <c r="R29" s="11">
        <v>17</v>
      </c>
      <c r="S29" s="11" t="str">
        <f>"004868"</f>
        <v>004868</v>
      </c>
      <c r="T29" s="10">
        <v>43316</v>
      </c>
      <c r="U29" s="14">
        <v>5.2485900000000001</v>
      </c>
      <c r="V29" s="14">
        <v>0.64558000000000004</v>
      </c>
      <c r="W29" s="14">
        <v>4.6030100000000003</v>
      </c>
      <c r="X29" s="11">
        <v>158</v>
      </c>
      <c r="Y29" s="10">
        <v>43318</v>
      </c>
      <c r="Z29" s="11">
        <v>9916950205</v>
      </c>
      <c r="AA29" s="12" t="s">
        <v>146</v>
      </c>
      <c r="AB29" s="11" t="s">
        <v>70</v>
      </c>
      <c r="AC29" s="12" t="s">
        <v>71</v>
      </c>
      <c r="AD29" s="11" t="s">
        <v>44</v>
      </c>
      <c r="AE29" s="12" t="s">
        <v>45</v>
      </c>
      <c r="AF29" s="14">
        <v>5.2485900000000002E-2</v>
      </c>
      <c r="AG29" s="11" t="s">
        <v>46</v>
      </c>
    </row>
    <row r="30" spans="1:33" x14ac:dyDescent="0.2">
      <c r="A30" s="8">
        <v>4549</v>
      </c>
      <c r="B30" s="9" t="s">
        <v>135</v>
      </c>
      <c r="C30" s="10">
        <v>43318</v>
      </c>
      <c r="D30" s="11">
        <v>137</v>
      </c>
      <c r="E30" s="12" t="s">
        <v>34</v>
      </c>
      <c r="F30" s="12" t="s">
        <v>35</v>
      </c>
      <c r="G30" s="12" t="s">
        <v>36</v>
      </c>
      <c r="H30" s="12" t="s">
        <v>37</v>
      </c>
      <c r="I30" s="11" t="s">
        <v>147</v>
      </c>
      <c r="J30" s="12" t="s">
        <v>148</v>
      </c>
      <c r="K30" s="13" t="s">
        <v>49</v>
      </c>
      <c r="L30" s="11" t="str">
        <f>"100122"</f>
        <v>100122</v>
      </c>
      <c r="M30" s="10">
        <v>42704</v>
      </c>
      <c r="N30" s="11" t="str">
        <f>"000202"</f>
        <v>000202</v>
      </c>
      <c r="O30" s="10">
        <v>42916</v>
      </c>
      <c r="P30" s="11" t="str">
        <f>"000658"</f>
        <v>000658</v>
      </c>
      <c r="Q30" s="10">
        <v>42763</v>
      </c>
      <c r="R30" s="11">
        <v>17</v>
      </c>
      <c r="S30" s="11" t="str">
        <f>"004618"</f>
        <v>004618</v>
      </c>
      <c r="T30" s="10">
        <v>43313</v>
      </c>
      <c r="U30" s="14">
        <v>4.9821799999999996</v>
      </c>
      <c r="V30" s="14">
        <v>0.58789999999999998</v>
      </c>
      <c r="W30" s="14">
        <v>4.3942800000000002</v>
      </c>
      <c r="X30" s="11">
        <v>159</v>
      </c>
      <c r="Y30" s="10">
        <v>43318</v>
      </c>
      <c r="Z30" s="11">
        <v>9916950205</v>
      </c>
      <c r="AA30" s="12" t="s">
        <v>87</v>
      </c>
      <c r="AB30" s="11" t="s">
        <v>138</v>
      </c>
      <c r="AC30" s="12" t="s">
        <v>139</v>
      </c>
      <c r="AD30" s="11" t="s">
        <v>44</v>
      </c>
      <c r="AE30" s="12" t="s">
        <v>45</v>
      </c>
      <c r="AF30" s="14">
        <v>4.9821799999999999E-2</v>
      </c>
      <c r="AG30" s="11" t="s">
        <v>46</v>
      </c>
    </row>
    <row r="31" spans="1:33" x14ac:dyDescent="0.2">
      <c r="A31" s="8">
        <v>4550</v>
      </c>
      <c r="B31" s="9" t="s">
        <v>135</v>
      </c>
      <c r="C31" s="10">
        <v>43318</v>
      </c>
      <c r="D31" s="11">
        <v>137</v>
      </c>
      <c r="E31" s="12" t="s">
        <v>34</v>
      </c>
      <c r="F31" s="12" t="s">
        <v>35</v>
      </c>
      <c r="G31" s="12" t="s">
        <v>36</v>
      </c>
      <c r="H31" s="12" t="s">
        <v>37</v>
      </c>
      <c r="I31" s="11" t="s">
        <v>149</v>
      </c>
      <c r="J31" s="12" t="s">
        <v>150</v>
      </c>
      <c r="K31" s="13" t="s">
        <v>49</v>
      </c>
      <c r="L31" s="11" t="str">
        <f>"000119"</f>
        <v>000119</v>
      </c>
      <c r="M31" s="10">
        <v>42704</v>
      </c>
      <c r="N31" s="11" t="str">
        <f>"000210"</f>
        <v>000210</v>
      </c>
      <c r="O31" s="10">
        <v>42916</v>
      </c>
      <c r="P31" s="11" t="str">
        <f>"000672"</f>
        <v>000672</v>
      </c>
      <c r="Q31" s="10">
        <v>42765</v>
      </c>
      <c r="R31" s="11">
        <v>17</v>
      </c>
      <c r="S31" s="11" t="str">
        <f>"004621"</f>
        <v>004621</v>
      </c>
      <c r="T31" s="10">
        <v>43313</v>
      </c>
      <c r="U31" s="14">
        <v>4.9814600000000002</v>
      </c>
      <c r="V31" s="14">
        <v>0.58282</v>
      </c>
      <c r="W31" s="14">
        <v>4.3986400000000003</v>
      </c>
      <c r="X31" s="11">
        <v>159</v>
      </c>
      <c r="Y31" s="10">
        <v>43318</v>
      </c>
      <c r="Z31" s="11">
        <v>9916950205</v>
      </c>
      <c r="AA31" s="12" t="s">
        <v>87</v>
      </c>
      <c r="AB31" s="11" t="s">
        <v>138</v>
      </c>
      <c r="AC31" s="12" t="s">
        <v>139</v>
      </c>
      <c r="AD31" s="11" t="s">
        <v>44</v>
      </c>
      <c r="AE31" s="12" t="s">
        <v>45</v>
      </c>
      <c r="AF31" s="14">
        <v>4.9814600000000001E-2</v>
      </c>
      <c r="AG31" s="11" t="s">
        <v>46</v>
      </c>
    </row>
    <row r="32" spans="1:33" x14ac:dyDescent="0.2">
      <c r="A32" s="8">
        <v>4866</v>
      </c>
      <c r="B32" s="9" t="s">
        <v>135</v>
      </c>
      <c r="C32" s="10">
        <v>43326</v>
      </c>
      <c r="D32" s="11">
        <v>137</v>
      </c>
      <c r="E32" s="12" t="s">
        <v>34</v>
      </c>
      <c r="F32" s="12" t="s">
        <v>35</v>
      </c>
      <c r="G32" s="12" t="s">
        <v>36</v>
      </c>
      <c r="H32" s="12" t="s">
        <v>37</v>
      </c>
      <c r="I32" s="11" t="s">
        <v>151</v>
      </c>
      <c r="J32" s="12" t="s">
        <v>152</v>
      </c>
      <c r="K32" s="13" t="s">
        <v>114</v>
      </c>
      <c r="L32" s="11" t="str">
        <f>"000121"</f>
        <v>000121</v>
      </c>
      <c r="M32" s="10">
        <v>42704</v>
      </c>
      <c r="N32" s="11" t="str">
        <f>"000204"</f>
        <v>000204</v>
      </c>
      <c r="O32" s="10">
        <v>42916</v>
      </c>
      <c r="P32" s="11" t="str">
        <f>"000083"</f>
        <v>000083</v>
      </c>
      <c r="Q32" s="10">
        <v>42853</v>
      </c>
      <c r="R32" s="11">
        <v>17</v>
      </c>
      <c r="S32" s="11" t="str">
        <f>"005116"</f>
        <v>005116</v>
      </c>
      <c r="T32" s="10">
        <v>43325</v>
      </c>
      <c r="U32" s="14">
        <v>3.9514100000000001</v>
      </c>
      <c r="V32" s="14">
        <v>0.46231</v>
      </c>
      <c r="W32" s="14">
        <v>3.4891000000000001</v>
      </c>
      <c r="X32" s="11">
        <v>172</v>
      </c>
      <c r="Y32" s="10">
        <v>43326</v>
      </c>
      <c r="Z32" s="11">
        <v>9916950205</v>
      </c>
      <c r="AA32" s="12" t="s">
        <v>87</v>
      </c>
      <c r="AB32" s="11" t="s">
        <v>115</v>
      </c>
      <c r="AC32" s="12" t="s">
        <v>116</v>
      </c>
      <c r="AD32" s="11" t="s">
        <v>44</v>
      </c>
      <c r="AE32" s="12" t="s">
        <v>45</v>
      </c>
      <c r="AF32" s="14">
        <v>3.9514100000000003E-2</v>
      </c>
      <c r="AG32" s="11" t="s">
        <v>46</v>
      </c>
    </row>
    <row r="33" spans="1:33" x14ac:dyDescent="0.2">
      <c r="A33" s="8">
        <v>5140</v>
      </c>
      <c r="B33" s="9" t="s">
        <v>135</v>
      </c>
      <c r="C33" s="10">
        <v>43339</v>
      </c>
      <c r="D33" s="11">
        <v>137</v>
      </c>
      <c r="E33" s="12" t="s">
        <v>34</v>
      </c>
      <c r="F33" s="12" t="s">
        <v>35</v>
      </c>
      <c r="G33" s="12" t="s">
        <v>36</v>
      </c>
      <c r="H33" s="12" t="s">
        <v>37</v>
      </c>
      <c r="I33" s="11" t="s">
        <v>153</v>
      </c>
      <c r="J33" s="12" t="s">
        <v>154</v>
      </c>
      <c r="K33" s="13" t="s">
        <v>119</v>
      </c>
      <c r="L33" s="11" t="str">
        <f>"000189"</f>
        <v>000189</v>
      </c>
      <c r="M33" s="10">
        <v>43137</v>
      </c>
      <c r="N33" s="11" t="str">
        <f>"000074"</f>
        <v>000074</v>
      </c>
      <c r="O33" s="10">
        <v>43137</v>
      </c>
      <c r="P33" s="11" t="str">
        <f>"000183"</f>
        <v>000183</v>
      </c>
      <c r="Q33" s="10">
        <v>43137</v>
      </c>
      <c r="R33" s="11">
        <v>17</v>
      </c>
      <c r="S33" s="11" t="str">
        <f>"005411"</f>
        <v>005411</v>
      </c>
      <c r="T33" s="10">
        <v>43339</v>
      </c>
      <c r="U33" s="14">
        <v>24.48536</v>
      </c>
      <c r="V33" s="14">
        <v>2.1302099999999999</v>
      </c>
      <c r="W33" s="14">
        <v>22.355149999999998</v>
      </c>
      <c r="X33" s="11">
        <v>184</v>
      </c>
      <c r="Y33" s="10">
        <v>43339</v>
      </c>
      <c r="Z33" s="11">
        <v>9916802955</v>
      </c>
      <c r="AA33" s="12" t="s">
        <v>155</v>
      </c>
      <c r="AB33" s="11" t="s">
        <v>53</v>
      </c>
      <c r="AC33" s="12" t="s">
        <v>54</v>
      </c>
      <c r="AD33" s="11" t="s">
        <v>44</v>
      </c>
      <c r="AE33" s="12" t="s">
        <v>45</v>
      </c>
      <c r="AF33" s="14">
        <v>0.2448536</v>
      </c>
      <c r="AG33" s="11" t="s">
        <v>46</v>
      </c>
    </row>
    <row r="34" spans="1:33" x14ac:dyDescent="0.2">
      <c r="A34" s="8">
        <v>5307</v>
      </c>
      <c r="B34" s="9" t="s">
        <v>156</v>
      </c>
      <c r="C34" s="10">
        <v>43346</v>
      </c>
      <c r="D34" s="11">
        <v>137</v>
      </c>
      <c r="E34" s="12" t="s">
        <v>34</v>
      </c>
      <c r="F34" s="12" t="s">
        <v>35</v>
      </c>
      <c r="G34" s="12" t="s">
        <v>36</v>
      </c>
      <c r="H34" s="12" t="s">
        <v>37</v>
      </c>
      <c r="I34" s="11" t="s">
        <v>157</v>
      </c>
      <c r="J34" s="12" t="s">
        <v>158</v>
      </c>
      <c r="K34" s="13" t="s">
        <v>159</v>
      </c>
      <c r="L34" s="11" t="str">
        <f>"000166"</f>
        <v>000166</v>
      </c>
      <c r="M34" s="10">
        <v>43179</v>
      </c>
      <c r="N34" s="11" t="str">
        <f>"000062"</f>
        <v>000062</v>
      </c>
      <c r="O34" s="10">
        <v>43319</v>
      </c>
      <c r="P34" s="11" t="str">
        <f>"000061"</f>
        <v>000061</v>
      </c>
      <c r="Q34" s="10">
        <v>43319</v>
      </c>
      <c r="R34" s="11">
        <v>17</v>
      </c>
      <c r="S34" s="11" t="str">
        <f>"005572"</f>
        <v>005572</v>
      </c>
      <c r="T34" s="10">
        <v>43343</v>
      </c>
      <c r="U34" s="14">
        <v>9.89527</v>
      </c>
      <c r="V34" s="14">
        <v>1.0603</v>
      </c>
      <c r="W34" s="14">
        <v>8.8349700000000002</v>
      </c>
      <c r="X34" s="11">
        <v>186</v>
      </c>
      <c r="Y34" s="10">
        <v>43346</v>
      </c>
      <c r="Z34" s="11">
        <v>9141267891</v>
      </c>
      <c r="AA34" s="12" t="s">
        <v>132</v>
      </c>
      <c r="AB34" s="11" t="s">
        <v>53</v>
      </c>
      <c r="AC34" s="12" t="s">
        <v>54</v>
      </c>
      <c r="AD34" s="11" t="s">
        <v>133</v>
      </c>
      <c r="AE34" s="12" t="s">
        <v>134</v>
      </c>
      <c r="AF34" s="14">
        <f t="shared" ref="AF34:AF71" si="0">U34/100</f>
        <v>9.8952700000000005E-2</v>
      </c>
      <c r="AG34" s="11" t="s">
        <v>111</v>
      </c>
    </row>
    <row r="35" spans="1:33" x14ac:dyDescent="0.2">
      <c r="A35" s="8">
        <v>5308</v>
      </c>
      <c r="B35" s="9" t="s">
        <v>156</v>
      </c>
      <c r="C35" s="10">
        <v>43346</v>
      </c>
      <c r="D35" s="11">
        <v>137</v>
      </c>
      <c r="E35" s="12" t="s">
        <v>34</v>
      </c>
      <c r="F35" s="12" t="s">
        <v>35</v>
      </c>
      <c r="G35" s="12" t="s">
        <v>36</v>
      </c>
      <c r="H35" s="12" t="s">
        <v>37</v>
      </c>
      <c r="I35" s="11" t="s">
        <v>160</v>
      </c>
      <c r="J35" s="12" t="s">
        <v>161</v>
      </c>
      <c r="K35" s="13" t="s">
        <v>49</v>
      </c>
      <c r="L35" s="11" t="str">
        <f>"000392"</f>
        <v>000392</v>
      </c>
      <c r="M35" s="10">
        <v>42618</v>
      </c>
      <c r="N35" s="11" t="str">
        <f>"000368"</f>
        <v>000368</v>
      </c>
      <c r="O35" s="10">
        <v>42663</v>
      </c>
      <c r="P35" s="11" t="str">
        <f>"000754"</f>
        <v>000754</v>
      </c>
      <c r="Q35" s="10">
        <v>42825</v>
      </c>
      <c r="R35" s="11">
        <v>16</v>
      </c>
      <c r="S35" s="11" t="str">
        <f>"005371"</f>
        <v>005371</v>
      </c>
      <c r="T35" s="10">
        <v>43335</v>
      </c>
      <c r="U35" s="14">
        <v>9.9926999999999992</v>
      </c>
      <c r="V35" s="14">
        <v>1.22044</v>
      </c>
      <c r="W35" s="14">
        <v>8.7722599999999993</v>
      </c>
      <c r="X35" s="11">
        <v>193</v>
      </c>
      <c r="Y35" s="10">
        <v>43346</v>
      </c>
      <c r="Z35" s="11">
        <v>9886873382</v>
      </c>
      <c r="AA35" s="12" t="s">
        <v>162</v>
      </c>
      <c r="AB35" s="11" t="s">
        <v>77</v>
      </c>
      <c r="AC35" s="12" t="s">
        <v>78</v>
      </c>
      <c r="AD35" s="11" t="s">
        <v>44</v>
      </c>
      <c r="AE35" s="12" t="s">
        <v>45</v>
      </c>
      <c r="AF35" s="14">
        <f t="shared" si="0"/>
        <v>9.9926999999999988E-2</v>
      </c>
      <c r="AG35" s="11" t="s">
        <v>46</v>
      </c>
    </row>
    <row r="36" spans="1:33" x14ac:dyDescent="0.2">
      <c r="A36" s="8">
        <v>5309</v>
      </c>
      <c r="B36" s="9" t="s">
        <v>156</v>
      </c>
      <c r="C36" s="10">
        <v>43346</v>
      </c>
      <c r="D36" s="11">
        <v>137</v>
      </c>
      <c r="E36" s="12" t="s">
        <v>34</v>
      </c>
      <c r="F36" s="12" t="s">
        <v>35</v>
      </c>
      <c r="G36" s="12" t="s">
        <v>36</v>
      </c>
      <c r="H36" s="12" t="s">
        <v>37</v>
      </c>
      <c r="I36" s="11" t="s">
        <v>163</v>
      </c>
      <c r="J36" s="12" t="s">
        <v>164</v>
      </c>
      <c r="K36" s="13" t="s">
        <v>40</v>
      </c>
      <c r="L36" s="11" t="str">
        <f>"000289"</f>
        <v>000289</v>
      </c>
      <c r="M36" s="10">
        <v>42618</v>
      </c>
      <c r="N36" s="11" t="str">
        <f>"000365"</f>
        <v>000365</v>
      </c>
      <c r="O36" s="10">
        <v>42663</v>
      </c>
      <c r="P36" s="11" t="str">
        <f>"000755"</f>
        <v>000755</v>
      </c>
      <c r="Q36" s="10">
        <v>42825</v>
      </c>
      <c r="R36" s="11">
        <v>16</v>
      </c>
      <c r="S36" s="11" t="str">
        <f>"005372"</f>
        <v>005372</v>
      </c>
      <c r="T36" s="10">
        <v>43335</v>
      </c>
      <c r="U36" s="14">
        <v>19.988479999999999</v>
      </c>
      <c r="V36" s="14">
        <v>2.5020099999999998</v>
      </c>
      <c r="W36" s="14">
        <v>17.486470000000001</v>
      </c>
      <c r="X36" s="11">
        <v>193</v>
      </c>
      <c r="Y36" s="10">
        <v>43346</v>
      </c>
      <c r="Z36" s="11">
        <v>9886873382</v>
      </c>
      <c r="AA36" s="12" t="s">
        <v>162</v>
      </c>
      <c r="AB36" s="11" t="s">
        <v>77</v>
      </c>
      <c r="AC36" s="12" t="s">
        <v>78</v>
      </c>
      <c r="AD36" s="11" t="s">
        <v>44</v>
      </c>
      <c r="AE36" s="12" t="s">
        <v>45</v>
      </c>
      <c r="AF36" s="14">
        <f t="shared" si="0"/>
        <v>0.1998848</v>
      </c>
      <c r="AG36" s="11" t="s">
        <v>46</v>
      </c>
    </row>
    <row r="37" spans="1:33" x14ac:dyDescent="0.2">
      <c r="A37" s="8">
        <v>5310</v>
      </c>
      <c r="B37" s="9" t="s">
        <v>156</v>
      </c>
      <c r="C37" s="10">
        <v>43346</v>
      </c>
      <c r="D37" s="11">
        <v>137</v>
      </c>
      <c r="E37" s="12" t="s">
        <v>34</v>
      </c>
      <c r="F37" s="12" t="s">
        <v>35</v>
      </c>
      <c r="G37" s="12" t="s">
        <v>36</v>
      </c>
      <c r="H37" s="12" t="s">
        <v>37</v>
      </c>
      <c r="I37" s="11" t="s">
        <v>165</v>
      </c>
      <c r="J37" s="12" t="s">
        <v>166</v>
      </c>
      <c r="K37" s="13" t="s">
        <v>40</v>
      </c>
      <c r="L37" s="11" t="str">
        <f>"000373"</f>
        <v>000373</v>
      </c>
      <c r="M37" s="10">
        <v>42618</v>
      </c>
      <c r="N37" s="11" t="str">
        <f>"000325"</f>
        <v>000325</v>
      </c>
      <c r="O37" s="10">
        <v>42663</v>
      </c>
      <c r="P37" s="11" t="str">
        <f>"000758"</f>
        <v>000758</v>
      </c>
      <c r="Q37" s="10">
        <v>42825</v>
      </c>
      <c r="R37" s="11">
        <v>16</v>
      </c>
      <c r="S37" s="11" t="str">
        <f>"005445"</f>
        <v>005445</v>
      </c>
      <c r="T37" s="10">
        <v>43340</v>
      </c>
      <c r="U37" s="14">
        <v>8.9693400000000008</v>
      </c>
      <c r="V37" s="14">
        <v>1.0918099999999999</v>
      </c>
      <c r="W37" s="14">
        <v>7.8775300000000001</v>
      </c>
      <c r="X37" s="11">
        <v>193</v>
      </c>
      <c r="Y37" s="10">
        <v>43346</v>
      </c>
      <c r="Z37" s="11">
        <v>9886873382</v>
      </c>
      <c r="AA37" s="12" t="s">
        <v>162</v>
      </c>
      <c r="AB37" s="11" t="s">
        <v>77</v>
      </c>
      <c r="AC37" s="12" t="s">
        <v>78</v>
      </c>
      <c r="AD37" s="11" t="s">
        <v>44</v>
      </c>
      <c r="AE37" s="12" t="s">
        <v>45</v>
      </c>
      <c r="AF37" s="14">
        <f t="shared" si="0"/>
        <v>8.9693400000000006E-2</v>
      </c>
      <c r="AG37" s="11" t="s">
        <v>46</v>
      </c>
    </row>
    <row r="38" spans="1:33" x14ac:dyDescent="0.2">
      <c r="A38" s="8">
        <v>5311</v>
      </c>
      <c r="B38" s="9" t="s">
        <v>156</v>
      </c>
      <c r="C38" s="10">
        <v>43346</v>
      </c>
      <c r="D38" s="11">
        <v>137</v>
      </c>
      <c r="E38" s="12" t="s">
        <v>34</v>
      </c>
      <c r="F38" s="12" t="s">
        <v>35</v>
      </c>
      <c r="G38" s="12" t="s">
        <v>36</v>
      </c>
      <c r="H38" s="12" t="s">
        <v>37</v>
      </c>
      <c r="I38" s="11" t="s">
        <v>167</v>
      </c>
      <c r="J38" s="12" t="s">
        <v>168</v>
      </c>
      <c r="K38" s="13" t="s">
        <v>40</v>
      </c>
      <c r="L38" s="11" t="str">
        <f>"000372"</f>
        <v>000372</v>
      </c>
      <c r="M38" s="10">
        <v>42618</v>
      </c>
      <c r="N38" s="11" t="str">
        <f>"000412"</f>
        <v>000412</v>
      </c>
      <c r="O38" s="10">
        <v>42663</v>
      </c>
      <c r="P38" s="11" t="str">
        <f>"000761"</f>
        <v>000761</v>
      </c>
      <c r="Q38" s="10">
        <v>42825</v>
      </c>
      <c r="R38" s="11">
        <v>16</v>
      </c>
      <c r="S38" s="11" t="str">
        <f>"005448"</f>
        <v>005448</v>
      </c>
      <c r="T38" s="10">
        <v>43340</v>
      </c>
      <c r="U38" s="14">
        <v>19.981110000000001</v>
      </c>
      <c r="V38" s="14">
        <v>2.5011199999999998</v>
      </c>
      <c r="W38" s="14">
        <v>17.479990000000001</v>
      </c>
      <c r="X38" s="11">
        <v>193</v>
      </c>
      <c r="Y38" s="10">
        <v>43346</v>
      </c>
      <c r="Z38" s="11">
        <v>9886873382</v>
      </c>
      <c r="AA38" s="12" t="s">
        <v>162</v>
      </c>
      <c r="AB38" s="11" t="s">
        <v>77</v>
      </c>
      <c r="AC38" s="12" t="s">
        <v>78</v>
      </c>
      <c r="AD38" s="11" t="s">
        <v>44</v>
      </c>
      <c r="AE38" s="12" t="s">
        <v>45</v>
      </c>
      <c r="AF38" s="14">
        <f t="shared" si="0"/>
        <v>0.19981110000000002</v>
      </c>
      <c r="AG38" s="11" t="s">
        <v>46</v>
      </c>
    </row>
    <row r="39" spans="1:33" x14ac:dyDescent="0.2">
      <c r="A39" s="8">
        <v>5483</v>
      </c>
      <c r="B39" s="9" t="s">
        <v>156</v>
      </c>
      <c r="C39" s="10">
        <v>43357</v>
      </c>
      <c r="D39" s="11">
        <v>137</v>
      </c>
      <c r="E39" s="12" t="s">
        <v>34</v>
      </c>
      <c r="F39" s="12" t="s">
        <v>35</v>
      </c>
      <c r="G39" s="12" t="s">
        <v>36</v>
      </c>
      <c r="H39" s="12" t="s">
        <v>37</v>
      </c>
      <c r="I39" s="11" t="s">
        <v>169</v>
      </c>
      <c r="J39" s="12" t="s">
        <v>170</v>
      </c>
      <c r="K39" s="13" t="s">
        <v>49</v>
      </c>
      <c r="L39" s="11" t="str">
        <f>"000107"</f>
        <v>000107</v>
      </c>
      <c r="M39" s="10">
        <v>42908</v>
      </c>
      <c r="N39" s="11" t="str">
        <f>"000028"</f>
        <v>000028</v>
      </c>
      <c r="O39" s="10">
        <v>42983</v>
      </c>
      <c r="P39" s="11" t="str">
        <f>"000023"</f>
        <v>000023</v>
      </c>
      <c r="Q39" s="10">
        <v>42983</v>
      </c>
      <c r="R39" s="11">
        <v>16</v>
      </c>
      <c r="S39" s="11" t="str">
        <f>"005741"</f>
        <v>005741</v>
      </c>
      <c r="T39" s="10">
        <v>43354</v>
      </c>
      <c r="U39" s="14">
        <v>19.632159999999999</v>
      </c>
      <c r="V39" s="14">
        <v>2.5819399999999999</v>
      </c>
      <c r="W39" s="14">
        <v>17.050219999999999</v>
      </c>
      <c r="X39" s="11">
        <v>203</v>
      </c>
      <c r="Y39" s="10">
        <v>43357</v>
      </c>
      <c r="Z39" s="11">
        <v>9900333496</v>
      </c>
      <c r="AA39" s="12" t="s">
        <v>171</v>
      </c>
      <c r="AB39" s="11" t="s">
        <v>126</v>
      </c>
      <c r="AC39" s="12" t="s">
        <v>127</v>
      </c>
      <c r="AD39" s="11" t="s">
        <v>133</v>
      </c>
      <c r="AE39" s="12" t="s">
        <v>134</v>
      </c>
      <c r="AF39" s="14">
        <f t="shared" si="0"/>
        <v>0.19632159999999999</v>
      </c>
      <c r="AG39" s="11" t="s">
        <v>46</v>
      </c>
    </row>
    <row r="40" spans="1:33" x14ac:dyDescent="0.2">
      <c r="A40" s="8">
        <v>5713</v>
      </c>
      <c r="B40" s="9" t="s">
        <v>156</v>
      </c>
      <c r="C40" s="10">
        <v>43370</v>
      </c>
      <c r="D40" s="11">
        <v>137</v>
      </c>
      <c r="E40" s="12" t="s">
        <v>34</v>
      </c>
      <c r="F40" s="12" t="s">
        <v>35</v>
      </c>
      <c r="G40" s="12" t="s">
        <v>36</v>
      </c>
      <c r="H40" s="12" t="s">
        <v>37</v>
      </c>
      <c r="I40" s="11" t="s">
        <v>172</v>
      </c>
      <c r="J40" s="12" t="s">
        <v>173</v>
      </c>
      <c r="K40" s="13" t="s">
        <v>76</v>
      </c>
      <c r="L40" s="11" t="str">
        <f>"000128"</f>
        <v>000128</v>
      </c>
      <c r="M40" s="10">
        <v>42758</v>
      </c>
      <c r="N40" s="11" t="str">
        <f>"000169"</f>
        <v>000169</v>
      </c>
      <c r="O40" s="10">
        <v>42906</v>
      </c>
      <c r="P40" s="11" t="str">
        <f>"000198"</f>
        <v>000198</v>
      </c>
      <c r="Q40" s="10">
        <v>42906</v>
      </c>
      <c r="R40" s="11">
        <v>16</v>
      </c>
      <c r="S40" s="11" t="str">
        <f>"005979"</f>
        <v>005979</v>
      </c>
      <c r="T40" s="10">
        <v>43368</v>
      </c>
      <c r="U40" s="14">
        <v>6.0648099999999996</v>
      </c>
      <c r="V40" s="14">
        <v>0.73012999999999995</v>
      </c>
      <c r="W40" s="14">
        <v>5.3346799999999996</v>
      </c>
      <c r="X40" s="11">
        <v>219</v>
      </c>
      <c r="Y40" s="10">
        <v>43370</v>
      </c>
      <c r="Z40" s="11">
        <v>9844874041</v>
      </c>
      <c r="AA40" s="12" t="s">
        <v>174</v>
      </c>
      <c r="AB40" s="11" t="s">
        <v>77</v>
      </c>
      <c r="AC40" s="12" t="s">
        <v>78</v>
      </c>
      <c r="AD40" s="11" t="s">
        <v>44</v>
      </c>
      <c r="AE40" s="12" t="s">
        <v>45</v>
      </c>
      <c r="AF40" s="14">
        <f t="shared" si="0"/>
        <v>6.0648099999999996E-2</v>
      </c>
      <c r="AG40" s="11" t="s">
        <v>46</v>
      </c>
    </row>
    <row r="41" spans="1:33" x14ac:dyDescent="0.2">
      <c r="A41" s="8">
        <v>6207</v>
      </c>
      <c r="B41" s="9" t="s">
        <v>175</v>
      </c>
      <c r="C41" s="10">
        <v>43385</v>
      </c>
      <c r="D41" s="11">
        <v>137</v>
      </c>
      <c r="E41" s="12" t="s">
        <v>34</v>
      </c>
      <c r="F41" s="12" t="s">
        <v>35</v>
      </c>
      <c r="G41" s="12" t="s">
        <v>36</v>
      </c>
      <c r="H41" s="12" t="s">
        <v>37</v>
      </c>
      <c r="I41" s="11" t="s">
        <v>176</v>
      </c>
      <c r="J41" s="12" t="s">
        <v>177</v>
      </c>
      <c r="K41" s="13" t="s">
        <v>159</v>
      </c>
      <c r="L41" s="11" t="str">
        <f>"100253"</f>
        <v>100253</v>
      </c>
      <c r="M41" s="10">
        <v>42812</v>
      </c>
      <c r="N41" s="11" t="str">
        <f>"000359"</f>
        <v>000359</v>
      </c>
      <c r="O41" s="10">
        <v>42853</v>
      </c>
      <c r="P41" s="11" t="str">
        <f>"000035"</f>
        <v>000035</v>
      </c>
      <c r="Q41" s="10">
        <v>42853</v>
      </c>
      <c r="R41" s="11">
        <v>17</v>
      </c>
      <c r="S41" s="11" t="str">
        <f>"006037"</f>
        <v>006037</v>
      </c>
      <c r="T41" s="10">
        <v>43374</v>
      </c>
      <c r="U41" s="14">
        <v>10.13236</v>
      </c>
      <c r="V41" s="14">
        <v>1.2867900000000001</v>
      </c>
      <c r="W41" s="14">
        <v>8.8455700000000004</v>
      </c>
      <c r="X41" s="11">
        <v>230</v>
      </c>
      <c r="Y41" s="10">
        <v>43385</v>
      </c>
      <c r="Z41" s="11">
        <v>9916950205</v>
      </c>
      <c r="AA41" s="12" t="s">
        <v>178</v>
      </c>
      <c r="AB41" s="11" t="s">
        <v>77</v>
      </c>
      <c r="AC41" s="12" t="s">
        <v>78</v>
      </c>
      <c r="AD41" s="11" t="s">
        <v>44</v>
      </c>
      <c r="AE41" s="12" t="s">
        <v>45</v>
      </c>
      <c r="AF41" s="14">
        <f t="shared" si="0"/>
        <v>0.1013236</v>
      </c>
      <c r="AG41" s="11" t="s">
        <v>46</v>
      </c>
    </row>
    <row r="42" spans="1:33" x14ac:dyDescent="0.2">
      <c r="A42" s="8">
        <v>6208</v>
      </c>
      <c r="B42" s="9" t="s">
        <v>175</v>
      </c>
      <c r="C42" s="10">
        <v>43385</v>
      </c>
      <c r="D42" s="11">
        <v>137</v>
      </c>
      <c r="E42" s="12" t="s">
        <v>34</v>
      </c>
      <c r="F42" s="12" t="s">
        <v>35</v>
      </c>
      <c r="G42" s="12" t="s">
        <v>36</v>
      </c>
      <c r="H42" s="12" t="s">
        <v>37</v>
      </c>
      <c r="I42" s="11" t="s">
        <v>179</v>
      </c>
      <c r="J42" s="12" t="s">
        <v>180</v>
      </c>
      <c r="K42" s="13" t="s">
        <v>40</v>
      </c>
      <c r="L42" s="11" t="str">
        <f>"100189"</f>
        <v>100189</v>
      </c>
      <c r="M42" s="10">
        <v>42802</v>
      </c>
      <c r="N42" s="11" t="str">
        <f>"000354"</f>
        <v>000354</v>
      </c>
      <c r="O42" s="10">
        <v>42853</v>
      </c>
      <c r="P42" s="11" t="str">
        <f>"000047"</f>
        <v>000047</v>
      </c>
      <c r="Q42" s="10">
        <v>42853</v>
      </c>
      <c r="R42" s="11">
        <v>17</v>
      </c>
      <c r="S42" s="11" t="str">
        <f>"006041"</f>
        <v>006041</v>
      </c>
      <c r="T42" s="10">
        <v>43374</v>
      </c>
      <c r="U42" s="14">
        <v>10.49</v>
      </c>
      <c r="V42" s="14">
        <v>1.3427199999999999</v>
      </c>
      <c r="W42" s="14">
        <v>9.1472800000000003</v>
      </c>
      <c r="X42" s="11">
        <v>230</v>
      </c>
      <c r="Y42" s="10">
        <v>43385</v>
      </c>
      <c r="Z42" s="11">
        <v>9916950205</v>
      </c>
      <c r="AA42" s="12" t="s">
        <v>69</v>
      </c>
      <c r="AB42" s="11" t="s">
        <v>77</v>
      </c>
      <c r="AC42" s="12" t="s">
        <v>78</v>
      </c>
      <c r="AD42" s="11" t="s">
        <v>44</v>
      </c>
      <c r="AE42" s="12" t="s">
        <v>45</v>
      </c>
      <c r="AF42" s="14">
        <f t="shared" si="0"/>
        <v>0.10490000000000001</v>
      </c>
      <c r="AG42" s="11" t="s">
        <v>46</v>
      </c>
    </row>
    <row r="43" spans="1:33" x14ac:dyDescent="0.2">
      <c r="A43" s="8">
        <v>6209</v>
      </c>
      <c r="B43" s="9" t="s">
        <v>175</v>
      </c>
      <c r="C43" s="10">
        <v>43385</v>
      </c>
      <c r="D43" s="11">
        <v>137</v>
      </c>
      <c r="E43" s="12" t="s">
        <v>34</v>
      </c>
      <c r="F43" s="12" t="s">
        <v>35</v>
      </c>
      <c r="G43" s="12" t="s">
        <v>36</v>
      </c>
      <c r="H43" s="12" t="s">
        <v>37</v>
      </c>
      <c r="I43" s="11" t="s">
        <v>181</v>
      </c>
      <c r="J43" s="12" t="s">
        <v>182</v>
      </c>
      <c r="K43" s="13" t="s">
        <v>76</v>
      </c>
      <c r="L43" s="11" t="str">
        <f>"000192"</f>
        <v>000192</v>
      </c>
      <c r="M43" s="10">
        <v>42802</v>
      </c>
      <c r="N43" s="11" t="str">
        <f>"000358"</f>
        <v>000358</v>
      </c>
      <c r="O43" s="10">
        <v>42853</v>
      </c>
      <c r="P43" s="11" t="str">
        <f>"000049"</f>
        <v>000049</v>
      </c>
      <c r="Q43" s="10">
        <v>42853</v>
      </c>
      <c r="R43" s="11">
        <v>17</v>
      </c>
      <c r="S43" s="11" t="str">
        <f>"006042"</f>
        <v>006042</v>
      </c>
      <c r="T43" s="10">
        <v>43374</v>
      </c>
      <c r="U43" s="14">
        <v>15.7111</v>
      </c>
      <c r="V43" s="14">
        <v>1.9811700000000001</v>
      </c>
      <c r="W43" s="14">
        <v>13.72993</v>
      </c>
      <c r="X43" s="11">
        <v>230</v>
      </c>
      <c r="Y43" s="10">
        <v>43385</v>
      </c>
      <c r="Z43" s="11">
        <v>9916950205</v>
      </c>
      <c r="AA43" s="12" t="s">
        <v>69</v>
      </c>
      <c r="AB43" s="11" t="s">
        <v>77</v>
      </c>
      <c r="AC43" s="12" t="s">
        <v>78</v>
      </c>
      <c r="AD43" s="11" t="s">
        <v>44</v>
      </c>
      <c r="AE43" s="12" t="s">
        <v>45</v>
      </c>
      <c r="AF43" s="14">
        <f t="shared" si="0"/>
        <v>0.157111</v>
      </c>
      <c r="AG43" s="11" t="s">
        <v>46</v>
      </c>
    </row>
    <row r="44" spans="1:33" x14ac:dyDescent="0.2">
      <c r="A44" s="8">
        <v>6210</v>
      </c>
      <c r="B44" s="9" t="s">
        <v>175</v>
      </c>
      <c r="C44" s="10">
        <v>43385</v>
      </c>
      <c r="D44" s="11">
        <v>137</v>
      </c>
      <c r="E44" s="12" t="s">
        <v>34</v>
      </c>
      <c r="F44" s="12" t="s">
        <v>35</v>
      </c>
      <c r="G44" s="12" t="s">
        <v>36</v>
      </c>
      <c r="H44" s="12" t="s">
        <v>37</v>
      </c>
      <c r="I44" s="11" t="s">
        <v>183</v>
      </c>
      <c r="J44" s="12" t="s">
        <v>184</v>
      </c>
      <c r="K44" s="13" t="s">
        <v>49</v>
      </c>
      <c r="L44" s="11" t="str">
        <f>"000195"</f>
        <v>000195</v>
      </c>
      <c r="M44" s="10">
        <v>42802</v>
      </c>
      <c r="N44" s="11" t="str">
        <f>"000371"</f>
        <v>000371</v>
      </c>
      <c r="O44" s="10">
        <v>42853</v>
      </c>
      <c r="P44" s="11" t="str">
        <f>"000051"</f>
        <v>000051</v>
      </c>
      <c r="Q44" s="10">
        <v>42853</v>
      </c>
      <c r="R44" s="11">
        <v>17</v>
      </c>
      <c r="S44" s="11" t="str">
        <f>"006043"</f>
        <v>006043</v>
      </c>
      <c r="T44" s="10">
        <v>43374</v>
      </c>
      <c r="U44" s="14">
        <v>10.498290000000001</v>
      </c>
      <c r="V44" s="14">
        <v>1.34378</v>
      </c>
      <c r="W44" s="14">
        <v>9.1545100000000001</v>
      </c>
      <c r="X44" s="11">
        <v>230</v>
      </c>
      <c r="Y44" s="10">
        <v>43385</v>
      </c>
      <c r="Z44" s="11">
        <v>9916950205</v>
      </c>
      <c r="AA44" s="12" t="s">
        <v>69</v>
      </c>
      <c r="AB44" s="11" t="s">
        <v>77</v>
      </c>
      <c r="AC44" s="12" t="s">
        <v>78</v>
      </c>
      <c r="AD44" s="11" t="s">
        <v>44</v>
      </c>
      <c r="AE44" s="12" t="s">
        <v>45</v>
      </c>
      <c r="AF44" s="14">
        <f t="shared" si="0"/>
        <v>0.1049829</v>
      </c>
      <c r="AG44" s="11" t="s">
        <v>46</v>
      </c>
    </row>
    <row r="45" spans="1:33" x14ac:dyDescent="0.2">
      <c r="A45" s="8">
        <v>6211</v>
      </c>
      <c r="B45" s="9" t="s">
        <v>175</v>
      </c>
      <c r="C45" s="10">
        <v>43385</v>
      </c>
      <c r="D45" s="11">
        <v>137</v>
      </c>
      <c r="E45" s="12" t="s">
        <v>34</v>
      </c>
      <c r="F45" s="12" t="s">
        <v>35</v>
      </c>
      <c r="G45" s="12" t="s">
        <v>36</v>
      </c>
      <c r="H45" s="12" t="s">
        <v>37</v>
      </c>
      <c r="I45" s="11" t="s">
        <v>185</v>
      </c>
      <c r="J45" s="12" t="s">
        <v>186</v>
      </c>
      <c r="K45" s="13" t="s">
        <v>187</v>
      </c>
      <c r="L45" s="11" t="str">
        <f>"100188"</f>
        <v>100188</v>
      </c>
      <c r="M45" s="10">
        <v>42802</v>
      </c>
      <c r="N45" s="11" t="str">
        <f>"000355"</f>
        <v>000355</v>
      </c>
      <c r="O45" s="10">
        <v>42853</v>
      </c>
      <c r="P45" s="11" t="str">
        <f>"000060"</f>
        <v>000060</v>
      </c>
      <c r="Q45" s="10">
        <v>42853</v>
      </c>
      <c r="R45" s="11">
        <v>17</v>
      </c>
      <c r="S45" s="11" t="str">
        <f>"006045"</f>
        <v>006045</v>
      </c>
      <c r="T45" s="10">
        <v>43374</v>
      </c>
      <c r="U45" s="14">
        <v>10.195</v>
      </c>
      <c r="V45" s="14">
        <v>1.30497</v>
      </c>
      <c r="W45" s="14">
        <v>8.8900299999999994</v>
      </c>
      <c r="X45" s="11">
        <v>230</v>
      </c>
      <c r="Y45" s="10">
        <v>43385</v>
      </c>
      <c r="Z45" s="11">
        <v>9916950205</v>
      </c>
      <c r="AA45" s="12" t="s">
        <v>69</v>
      </c>
      <c r="AB45" s="11" t="s">
        <v>77</v>
      </c>
      <c r="AC45" s="12" t="s">
        <v>78</v>
      </c>
      <c r="AD45" s="11" t="s">
        <v>44</v>
      </c>
      <c r="AE45" s="12" t="s">
        <v>45</v>
      </c>
      <c r="AF45" s="14">
        <f t="shared" si="0"/>
        <v>0.10195</v>
      </c>
      <c r="AG45" s="11" t="s">
        <v>46</v>
      </c>
    </row>
    <row r="46" spans="1:33" x14ac:dyDescent="0.2">
      <c r="A46" s="8">
        <v>6938</v>
      </c>
      <c r="B46" s="9" t="s">
        <v>175</v>
      </c>
      <c r="C46" s="10">
        <v>43402</v>
      </c>
      <c r="D46" s="11">
        <v>137</v>
      </c>
      <c r="E46" s="12" t="s">
        <v>34</v>
      </c>
      <c r="F46" s="12" t="s">
        <v>35</v>
      </c>
      <c r="G46" s="12" t="s">
        <v>36</v>
      </c>
      <c r="H46" s="12" t="s">
        <v>37</v>
      </c>
      <c r="I46" s="11" t="s">
        <v>188</v>
      </c>
      <c r="J46" s="12" t="s">
        <v>189</v>
      </c>
      <c r="K46" s="13" t="s">
        <v>76</v>
      </c>
      <c r="L46" s="11" t="str">
        <f>"000227"</f>
        <v>000227</v>
      </c>
      <c r="M46" s="10">
        <v>43373</v>
      </c>
      <c r="N46" s="11" t="str">
        <f>"000110"</f>
        <v>000110</v>
      </c>
      <c r="O46" s="10">
        <v>43373</v>
      </c>
      <c r="P46" s="11" t="str">
        <f>"000275"</f>
        <v>000275</v>
      </c>
      <c r="Q46" s="10">
        <v>43190</v>
      </c>
      <c r="R46" s="11">
        <v>17</v>
      </c>
      <c r="S46" s="11" t="str">
        <f>"007063"</f>
        <v>007063</v>
      </c>
      <c r="T46" s="10">
        <v>43400</v>
      </c>
      <c r="U46" s="14">
        <v>307.04369000000003</v>
      </c>
      <c r="V46" s="14">
        <v>9.5183400000000002</v>
      </c>
      <c r="W46" s="14">
        <v>297.52535</v>
      </c>
      <c r="X46" s="11">
        <v>252</v>
      </c>
      <c r="Y46" s="10">
        <v>43402</v>
      </c>
      <c r="Z46" s="11">
        <v>9900000000</v>
      </c>
      <c r="AA46" s="12" t="s">
        <v>190</v>
      </c>
      <c r="AB46" s="11" t="s">
        <v>191</v>
      </c>
      <c r="AC46" s="12" t="s">
        <v>192</v>
      </c>
      <c r="AD46" s="11" t="s">
        <v>44</v>
      </c>
      <c r="AE46" s="12" t="s">
        <v>45</v>
      </c>
      <c r="AF46" s="14">
        <f t="shared" si="0"/>
        <v>3.0704369000000002</v>
      </c>
      <c r="AG46" s="11" t="s">
        <v>111</v>
      </c>
    </row>
    <row r="47" spans="1:33" x14ac:dyDescent="0.2">
      <c r="A47" s="8">
        <v>7158</v>
      </c>
      <c r="B47" s="9" t="s">
        <v>193</v>
      </c>
      <c r="C47" s="10">
        <v>43418</v>
      </c>
      <c r="D47" s="11">
        <v>137</v>
      </c>
      <c r="E47" s="12" t="s">
        <v>34</v>
      </c>
      <c r="F47" s="12" t="s">
        <v>35</v>
      </c>
      <c r="G47" s="12" t="s">
        <v>36</v>
      </c>
      <c r="H47" s="12" t="s">
        <v>37</v>
      </c>
      <c r="I47" s="11" t="s">
        <v>194</v>
      </c>
      <c r="J47" s="12" t="s">
        <v>195</v>
      </c>
      <c r="K47" s="13" t="s">
        <v>68</v>
      </c>
      <c r="L47" s="11" t="str">
        <f>"000164"</f>
        <v>000164</v>
      </c>
      <c r="M47" s="10">
        <v>43131</v>
      </c>
      <c r="N47" s="11" t="str">
        <f>"000065"</f>
        <v>000065</v>
      </c>
      <c r="O47" s="10">
        <v>43131</v>
      </c>
      <c r="P47" s="11" t="str">
        <f>"000143"</f>
        <v>000143</v>
      </c>
      <c r="Q47" s="10">
        <v>43131</v>
      </c>
      <c r="R47" s="11">
        <v>17</v>
      </c>
      <c r="S47" s="11" t="str">
        <f>"007146"</f>
        <v>007146</v>
      </c>
      <c r="T47" s="10">
        <v>43403</v>
      </c>
      <c r="U47" s="14">
        <v>26.194420000000001</v>
      </c>
      <c r="V47" s="14">
        <v>2.9599500000000001</v>
      </c>
      <c r="W47" s="14">
        <v>23.234470000000002</v>
      </c>
      <c r="X47" s="11">
        <v>261</v>
      </c>
      <c r="Y47" s="10">
        <v>43418</v>
      </c>
      <c r="Z47" s="11">
        <v>9916950205</v>
      </c>
      <c r="AA47" s="12" t="s">
        <v>83</v>
      </c>
      <c r="AB47" s="11" t="s">
        <v>196</v>
      </c>
      <c r="AC47" s="12" t="s">
        <v>197</v>
      </c>
      <c r="AD47" s="11" t="s">
        <v>44</v>
      </c>
      <c r="AE47" s="12" t="s">
        <v>45</v>
      </c>
      <c r="AF47" s="14">
        <f t="shared" si="0"/>
        <v>0.26194420000000002</v>
      </c>
      <c r="AG47" s="11" t="s">
        <v>46</v>
      </c>
    </row>
    <row r="48" spans="1:33" x14ac:dyDescent="0.2">
      <c r="A48" s="8">
        <v>7159</v>
      </c>
      <c r="B48" s="9" t="s">
        <v>193</v>
      </c>
      <c r="C48" s="10">
        <v>43418</v>
      </c>
      <c r="D48" s="11">
        <v>137</v>
      </c>
      <c r="E48" s="12" t="s">
        <v>34</v>
      </c>
      <c r="F48" s="12" t="s">
        <v>35</v>
      </c>
      <c r="G48" s="12" t="s">
        <v>36</v>
      </c>
      <c r="H48" s="12" t="s">
        <v>37</v>
      </c>
      <c r="I48" s="11" t="s">
        <v>198</v>
      </c>
      <c r="J48" s="12" t="s">
        <v>199</v>
      </c>
      <c r="K48" s="13" t="s">
        <v>76</v>
      </c>
      <c r="L48" s="11" t="str">
        <f>"000187"</f>
        <v>000187</v>
      </c>
      <c r="M48" s="10">
        <v>43137</v>
      </c>
      <c r="N48" s="11" t="str">
        <f>"000110"</f>
        <v>000110</v>
      </c>
      <c r="O48" s="10">
        <v>43137</v>
      </c>
      <c r="P48" s="11" t="str">
        <f>"000179"</f>
        <v>000179</v>
      </c>
      <c r="Q48" s="10">
        <v>43137</v>
      </c>
      <c r="R48" s="11">
        <v>18</v>
      </c>
      <c r="S48" s="11" t="str">
        <f>"007150"</f>
        <v>007150</v>
      </c>
      <c r="T48" s="10">
        <v>43403</v>
      </c>
      <c r="U48" s="14">
        <v>26.20262</v>
      </c>
      <c r="V48" s="14">
        <v>2.4368500000000002</v>
      </c>
      <c r="W48" s="14">
        <v>23.76577</v>
      </c>
      <c r="X48" s="11">
        <v>261</v>
      </c>
      <c r="Y48" s="10">
        <v>43418</v>
      </c>
      <c r="Z48" s="11">
        <v>9916950205</v>
      </c>
      <c r="AA48" s="12" t="s">
        <v>83</v>
      </c>
      <c r="AB48" s="11" t="s">
        <v>70</v>
      </c>
      <c r="AC48" s="12" t="s">
        <v>71</v>
      </c>
      <c r="AD48" s="11" t="s">
        <v>61</v>
      </c>
      <c r="AE48" s="12" t="s">
        <v>62</v>
      </c>
      <c r="AF48" s="14">
        <f t="shared" si="0"/>
        <v>0.26202619999999999</v>
      </c>
      <c r="AG48" s="11" t="s">
        <v>46</v>
      </c>
    </row>
    <row r="49" spans="1:33" x14ac:dyDescent="0.2">
      <c r="A49" s="8">
        <v>7160</v>
      </c>
      <c r="B49" s="9" t="s">
        <v>193</v>
      </c>
      <c r="C49" s="10">
        <v>43418</v>
      </c>
      <c r="D49" s="11">
        <v>137</v>
      </c>
      <c r="E49" s="12" t="s">
        <v>34</v>
      </c>
      <c r="F49" s="12" t="s">
        <v>35</v>
      </c>
      <c r="G49" s="12" t="s">
        <v>36</v>
      </c>
      <c r="H49" s="12" t="s">
        <v>37</v>
      </c>
      <c r="I49" s="11" t="s">
        <v>200</v>
      </c>
      <c r="J49" s="12" t="s">
        <v>201</v>
      </c>
      <c r="K49" s="13" t="s">
        <v>202</v>
      </c>
      <c r="L49" s="11" t="str">
        <f>"000152"</f>
        <v>000152</v>
      </c>
      <c r="M49" s="10">
        <v>43131</v>
      </c>
      <c r="N49" s="11" t="str">
        <f>"000109"</f>
        <v>000109</v>
      </c>
      <c r="O49" s="10">
        <v>43137</v>
      </c>
      <c r="P49" s="11" t="str">
        <f>"000180"</f>
        <v>000180</v>
      </c>
      <c r="Q49" s="10">
        <v>43137</v>
      </c>
      <c r="R49" s="11">
        <v>17</v>
      </c>
      <c r="S49" s="11" t="str">
        <f>"007151"</f>
        <v>007151</v>
      </c>
      <c r="T49" s="10">
        <v>43403</v>
      </c>
      <c r="U49" s="14">
        <v>15.739839999999999</v>
      </c>
      <c r="V49" s="14">
        <v>1.69991</v>
      </c>
      <c r="W49" s="14">
        <v>14.03993</v>
      </c>
      <c r="X49" s="11">
        <v>261</v>
      </c>
      <c r="Y49" s="10">
        <v>43418</v>
      </c>
      <c r="Z49" s="11">
        <v>9916950205</v>
      </c>
      <c r="AA49" s="12" t="s">
        <v>83</v>
      </c>
      <c r="AB49" s="11" t="s">
        <v>203</v>
      </c>
      <c r="AC49" s="12" t="s">
        <v>204</v>
      </c>
      <c r="AD49" s="11" t="s">
        <v>61</v>
      </c>
      <c r="AE49" s="12" t="s">
        <v>62</v>
      </c>
      <c r="AF49" s="14">
        <f t="shared" si="0"/>
        <v>0.15739839999999999</v>
      </c>
      <c r="AG49" s="11" t="s">
        <v>46</v>
      </c>
    </row>
    <row r="50" spans="1:33" x14ac:dyDescent="0.2">
      <c r="A50" s="8">
        <v>7345</v>
      </c>
      <c r="B50" s="9" t="s">
        <v>193</v>
      </c>
      <c r="C50" s="10">
        <v>43424</v>
      </c>
      <c r="D50" s="11">
        <v>137</v>
      </c>
      <c r="E50" s="12" t="s">
        <v>34</v>
      </c>
      <c r="F50" s="12" t="s">
        <v>35</v>
      </c>
      <c r="G50" s="12" t="s">
        <v>36</v>
      </c>
      <c r="H50" s="12" t="s">
        <v>37</v>
      </c>
      <c r="I50" s="11" t="s">
        <v>205</v>
      </c>
      <c r="J50" s="12" t="s">
        <v>206</v>
      </c>
      <c r="K50" s="13" t="s">
        <v>207</v>
      </c>
      <c r="L50" s="11" t="str">
        <f>"000127"</f>
        <v>000127</v>
      </c>
      <c r="M50" s="10">
        <v>43279</v>
      </c>
      <c r="N50" s="11" t="str">
        <f>"000059"</f>
        <v>000059</v>
      </c>
      <c r="O50" s="10">
        <v>43279</v>
      </c>
      <c r="P50" s="11" t="str">
        <f>"000131"</f>
        <v>000131</v>
      </c>
      <c r="Q50" s="10">
        <v>43280</v>
      </c>
      <c r="R50" s="11">
        <v>18</v>
      </c>
      <c r="S50" s="11" t="str">
        <f>"007226"</f>
        <v>007226</v>
      </c>
      <c r="T50" s="10">
        <v>43404</v>
      </c>
      <c r="U50" s="14">
        <v>11.092140000000001</v>
      </c>
      <c r="V50" s="14">
        <v>1.2652600000000001</v>
      </c>
      <c r="W50" s="14">
        <v>9.8268799999999992</v>
      </c>
      <c r="X50" s="11">
        <v>271</v>
      </c>
      <c r="Y50" s="10">
        <v>43424</v>
      </c>
      <c r="Z50" s="11">
        <v>9731804566</v>
      </c>
      <c r="AA50" s="12" t="s">
        <v>58</v>
      </c>
      <c r="AB50" s="11" t="s">
        <v>208</v>
      </c>
      <c r="AC50" s="12" t="s">
        <v>209</v>
      </c>
      <c r="AD50" s="11" t="s">
        <v>44</v>
      </c>
      <c r="AE50" s="12" t="s">
        <v>45</v>
      </c>
      <c r="AF50" s="14">
        <f t="shared" si="0"/>
        <v>0.1109214</v>
      </c>
      <c r="AG50" s="11" t="s">
        <v>105</v>
      </c>
    </row>
    <row r="51" spans="1:33" x14ac:dyDescent="0.2">
      <c r="A51" s="8">
        <v>7390</v>
      </c>
      <c r="B51" s="9" t="s">
        <v>193</v>
      </c>
      <c r="C51" s="10">
        <v>43427</v>
      </c>
      <c r="D51" s="11">
        <v>137</v>
      </c>
      <c r="E51" s="12" t="s">
        <v>34</v>
      </c>
      <c r="F51" s="12" t="s">
        <v>35</v>
      </c>
      <c r="G51" s="12" t="s">
        <v>36</v>
      </c>
      <c r="H51" s="12" t="s">
        <v>37</v>
      </c>
      <c r="I51" s="11" t="s">
        <v>210</v>
      </c>
      <c r="J51" s="12" t="s">
        <v>211</v>
      </c>
      <c r="K51" s="13" t="s">
        <v>212</v>
      </c>
      <c r="L51" s="11" t="str">
        <f>"000001"</f>
        <v>000001</v>
      </c>
      <c r="M51" s="10">
        <v>43047</v>
      </c>
      <c r="N51" s="11" t="str">
        <f>"000008"</f>
        <v>000008</v>
      </c>
      <c r="O51" s="10">
        <v>43047</v>
      </c>
      <c r="P51" s="11" t="str">
        <f>"000044"</f>
        <v>000044</v>
      </c>
      <c r="Q51" s="10">
        <v>43048</v>
      </c>
      <c r="R51" s="11">
        <v>12</v>
      </c>
      <c r="S51" s="11" t="str">
        <f>"007479"</f>
        <v>007479</v>
      </c>
      <c r="T51" s="10">
        <v>43424</v>
      </c>
      <c r="U51" s="14">
        <v>86.72</v>
      </c>
      <c r="V51" s="14">
        <v>4.5960000000000001</v>
      </c>
      <c r="W51" s="14">
        <v>82.123999999999995</v>
      </c>
      <c r="X51" s="11">
        <v>273</v>
      </c>
      <c r="Y51" s="10">
        <v>43427</v>
      </c>
      <c r="Z51" s="11">
        <v>9845030616</v>
      </c>
      <c r="AA51" s="12" t="s">
        <v>213</v>
      </c>
      <c r="AB51" s="11" t="s">
        <v>214</v>
      </c>
      <c r="AC51" s="12" t="s">
        <v>215</v>
      </c>
      <c r="AD51" s="11" t="s">
        <v>216</v>
      </c>
      <c r="AE51" s="12" t="s">
        <v>217</v>
      </c>
      <c r="AF51" s="14">
        <f t="shared" si="0"/>
        <v>0.86719999999999997</v>
      </c>
      <c r="AG51" s="11" t="s">
        <v>46</v>
      </c>
    </row>
    <row r="52" spans="1:33" x14ac:dyDescent="0.2">
      <c r="A52" s="8">
        <v>7568</v>
      </c>
      <c r="B52" s="9" t="s">
        <v>218</v>
      </c>
      <c r="C52" s="10">
        <v>43437</v>
      </c>
      <c r="D52" s="11">
        <v>137</v>
      </c>
      <c r="E52" s="12" t="s">
        <v>34</v>
      </c>
      <c r="F52" s="12" t="s">
        <v>35</v>
      </c>
      <c r="G52" s="12" t="s">
        <v>36</v>
      </c>
      <c r="H52" s="12" t="s">
        <v>37</v>
      </c>
      <c r="I52" s="11" t="s">
        <v>219</v>
      </c>
      <c r="J52" s="12" t="s">
        <v>220</v>
      </c>
      <c r="K52" s="13" t="s">
        <v>221</v>
      </c>
      <c r="L52" s="11" t="str">
        <f>"000003"</f>
        <v>000003</v>
      </c>
      <c r="M52" s="10">
        <v>42992</v>
      </c>
      <c r="N52" s="11" t="str">
        <f>"000105"</f>
        <v>000105</v>
      </c>
      <c r="O52" s="10">
        <v>43161</v>
      </c>
      <c r="P52" s="11" t="str">
        <f>"000120"</f>
        <v>000120</v>
      </c>
      <c r="Q52" s="10">
        <v>43161</v>
      </c>
      <c r="R52" s="11">
        <v>15</v>
      </c>
      <c r="S52" s="11" t="str">
        <f>"007614"</f>
        <v>007614</v>
      </c>
      <c r="T52" s="10">
        <v>43432</v>
      </c>
      <c r="U52" s="14">
        <v>26.356349999999999</v>
      </c>
      <c r="V52" s="14">
        <v>0.55347000000000002</v>
      </c>
      <c r="W52" s="14">
        <v>25.802879999999998</v>
      </c>
      <c r="X52" s="11">
        <v>280</v>
      </c>
      <c r="Y52" s="10">
        <v>43437</v>
      </c>
      <c r="Z52" s="11">
        <v>9845524294</v>
      </c>
      <c r="AA52" s="12" t="s">
        <v>222</v>
      </c>
      <c r="AB52" s="11" t="s">
        <v>223</v>
      </c>
      <c r="AC52" s="12" t="s">
        <v>224</v>
      </c>
      <c r="AD52" s="11" t="s">
        <v>225</v>
      </c>
      <c r="AE52" s="12" t="s">
        <v>226</v>
      </c>
      <c r="AF52" s="14">
        <f t="shared" si="0"/>
        <v>0.26356350000000001</v>
      </c>
      <c r="AG52" s="11" t="s">
        <v>46</v>
      </c>
    </row>
    <row r="53" spans="1:33" x14ac:dyDescent="0.2">
      <c r="A53" s="8">
        <v>7569</v>
      </c>
      <c r="B53" s="9" t="s">
        <v>218</v>
      </c>
      <c r="C53" s="10">
        <v>43437</v>
      </c>
      <c r="D53" s="11">
        <v>137</v>
      </c>
      <c r="E53" s="12" t="s">
        <v>34</v>
      </c>
      <c r="F53" s="12" t="s">
        <v>35</v>
      </c>
      <c r="G53" s="12" t="s">
        <v>36</v>
      </c>
      <c r="H53" s="12" t="s">
        <v>37</v>
      </c>
      <c r="I53" s="11" t="s">
        <v>227</v>
      </c>
      <c r="J53" s="12" t="s">
        <v>228</v>
      </c>
      <c r="K53" s="13" t="s">
        <v>76</v>
      </c>
      <c r="L53" s="11" t="str">
        <f>"000018"</f>
        <v>000018</v>
      </c>
      <c r="M53" s="10">
        <v>43143</v>
      </c>
      <c r="N53" s="11" t="str">
        <f>"000106"</f>
        <v>000106</v>
      </c>
      <c r="O53" s="10">
        <v>43161</v>
      </c>
      <c r="P53" s="11" t="str">
        <f>"000121"</f>
        <v>000121</v>
      </c>
      <c r="Q53" s="10">
        <v>43161</v>
      </c>
      <c r="R53" s="11">
        <v>17</v>
      </c>
      <c r="S53" s="11" t="str">
        <f>"007615"</f>
        <v>007615</v>
      </c>
      <c r="T53" s="10">
        <v>43432</v>
      </c>
      <c r="U53" s="14">
        <v>111.40124</v>
      </c>
      <c r="V53" s="14">
        <v>2.3829199999999999</v>
      </c>
      <c r="W53" s="14">
        <v>109.01832</v>
      </c>
      <c r="X53" s="11">
        <v>280</v>
      </c>
      <c r="Y53" s="10">
        <v>43437</v>
      </c>
      <c r="Z53" s="11">
        <v>9845524294</v>
      </c>
      <c r="AA53" s="12" t="s">
        <v>222</v>
      </c>
      <c r="AB53" s="11" t="s">
        <v>229</v>
      </c>
      <c r="AC53" s="12" t="s">
        <v>230</v>
      </c>
      <c r="AD53" s="11" t="s">
        <v>225</v>
      </c>
      <c r="AE53" s="12" t="s">
        <v>226</v>
      </c>
      <c r="AF53" s="14">
        <f t="shared" si="0"/>
        <v>1.1140124</v>
      </c>
      <c r="AG53" s="11" t="s">
        <v>46</v>
      </c>
    </row>
    <row r="54" spans="1:33" x14ac:dyDescent="0.2">
      <c r="A54" s="8">
        <v>7775</v>
      </c>
      <c r="B54" s="9" t="s">
        <v>218</v>
      </c>
      <c r="C54" s="10">
        <v>43448</v>
      </c>
      <c r="D54" s="11">
        <v>137</v>
      </c>
      <c r="E54" s="12" t="s">
        <v>34</v>
      </c>
      <c r="F54" s="12" t="s">
        <v>35</v>
      </c>
      <c r="G54" s="12" t="s">
        <v>36</v>
      </c>
      <c r="H54" s="12" t="s">
        <v>37</v>
      </c>
      <c r="I54" s="11" t="s">
        <v>231</v>
      </c>
      <c r="J54" s="12" t="s">
        <v>232</v>
      </c>
      <c r="K54" s="13" t="s">
        <v>40</v>
      </c>
      <c r="L54" s="11" t="str">
        <f>"000211"</f>
        <v>000211</v>
      </c>
      <c r="M54" s="10">
        <v>42429</v>
      </c>
      <c r="N54" s="11" t="str">
        <f>"000196"</f>
        <v>000196</v>
      </c>
      <c r="O54" s="10">
        <v>42643</v>
      </c>
      <c r="P54" s="11" t="str">
        <f>"000591"</f>
        <v>000591</v>
      </c>
      <c r="Q54" s="10">
        <v>42671</v>
      </c>
      <c r="R54" s="11">
        <v>16</v>
      </c>
      <c r="S54" s="11" t="str">
        <f>"007857"</f>
        <v>007857</v>
      </c>
      <c r="T54" s="10">
        <v>43444</v>
      </c>
      <c r="U54" s="14">
        <v>7.8783000000000003</v>
      </c>
      <c r="V54" s="14">
        <v>0.98341999999999996</v>
      </c>
      <c r="W54" s="14">
        <v>6.8948799999999997</v>
      </c>
      <c r="X54" s="11">
        <v>291</v>
      </c>
      <c r="Y54" s="10">
        <v>43448</v>
      </c>
      <c r="Z54" s="11">
        <v>9886296777</v>
      </c>
      <c r="AA54" s="12" t="s">
        <v>233</v>
      </c>
      <c r="AB54" s="11" t="s">
        <v>77</v>
      </c>
      <c r="AC54" s="12" t="s">
        <v>78</v>
      </c>
      <c r="AD54" s="11" t="s">
        <v>44</v>
      </c>
      <c r="AE54" s="12" t="s">
        <v>45</v>
      </c>
      <c r="AF54" s="14">
        <f t="shared" si="0"/>
        <v>7.8783000000000006E-2</v>
      </c>
      <c r="AG54" s="11" t="s">
        <v>46</v>
      </c>
    </row>
    <row r="55" spans="1:33" x14ac:dyDescent="0.2">
      <c r="A55" s="8">
        <v>7776</v>
      </c>
      <c r="B55" s="9" t="s">
        <v>218</v>
      </c>
      <c r="C55" s="10">
        <v>43448</v>
      </c>
      <c r="D55" s="11">
        <v>137</v>
      </c>
      <c r="E55" s="12" t="s">
        <v>34</v>
      </c>
      <c r="F55" s="12" t="s">
        <v>35</v>
      </c>
      <c r="G55" s="12" t="s">
        <v>36</v>
      </c>
      <c r="H55" s="12" t="s">
        <v>37</v>
      </c>
      <c r="I55" s="11" t="s">
        <v>234</v>
      </c>
      <c r="J55" s="12" t="s">
        <v>235</v>
      </c>
      <c r="K55" s="13" t="s">
        <v>49</v>
      </c>
      <c r="L55" s="11" t="str">
        <f>"000002"</f>
        <v>000002</v>
      </c>
      <c r="M55" s="10">
        <v>42945</v>
      </c>
      <c r="N55" s="11" t="str">
        <f>"000039"</f>
        <v>000039</v>
      </c>
      <c r="O55" s="10">
        <v>43021</v>
      </c>
      <c r="P55" s="11" t="str">
        <f>"000070"</f>
        <v>000070</v>
      </c>
      <c r="Q55" s="10">
        <v>43024</v>
      </c>
      <c r="R55" s="11">
        <v>17</v>
      </c>
      <c r="S55" s="11" t="str">
        <f>"007764"</f>
        <v>007764</v>
      </c>
      <c r="T55" s="10">
        <v>43444</v>
      </c>
      <c r="U55" s="14">
        <v>14.985989999999999</v>
      </c>
      <c r="V55" s="14">
        <v>2.22464</v>
      </c>
      <c r="W55" s="14">
        <v>12.76135</v>
      </c>
      <c r="X55" s="11">
        <v>292</v>
      </c>
      <c r="Y55" s="10">
        <v>43448</v>
      </c>
      <c r="Z55" s="11">
        <v>9900333498</v>
      </c>
      <c r="AA55" s="12" t="s">
        <v>236</v>
      </c>
      <c r="AB55" s="11" t="s">
        <v>42</v>
      </c>
      <c r="AC55" s="12" t="s">
        <v>43</v>
      </c>
      <c r="AD55" s="11" t="s">
        <v>133</v>
      </c>
      <c r="AE55" s="12" t="s">
        <v>134</v>
      </c>
      <c r="AF55" s="14">
        <f t="shared" si="0"/>
        <v>0.14985989999999999</v>
      </c>
      <c r="AG55" s="11" t="s">
        <v>46</v>
      </c>
    </row>
    <row r="56" spans="1:33" x14ac:dyDescent="0.2">
      <c r="A56" s="8">
        <v>7777</v>
      </c>
      <c r="B56" s="9" t="s">
        <v>218</v>
      </c>
      <c r="C56" s="10">
        <v>43448</v>
      </c>
      <c r="D56" s="11">
        <v>137</v>
      </c>
      <c r="E56" s="12" t="s">
        <v>34</v>
      </c>
      <c r="F56" s="12" t="s">
        <v>35</v>
      </c>
      <c r="G56" s="12" t="s">
        <v>36</v>
      </c>
      <c r="H56" s="12" t="s">
        <v>37</v>
      </c>
      <c r="I56" s="11" t="s">
        <v>237</v>
      </c>
      <c r="J56" s="12" t="s">
        <v>238</v>
      </c>
      <c r="K56" s="13" t="s">
        <v>49</v>
      </c>
      <c r="L56" s="11" t="str">
        <f>"000116"</f>
        <v>000116</v>
      </c>
      <c r="M56" s="10">
        <v>42916</v>
      </c>
      <c r="N56" s="11" t="str">
        <f>"000040"</f>
        <v>000040</v>
      </c>
      <c r="O56" s="10">
        <v>43021</v>
      </c>
      <c r="P56" s="11" t="str">
        <f>"000071"</f>
        <v>000071</v>
      </c>
      <c r="Q56" s="10">
        <v>43024</v>
      </c>
      <c r="R56" s="11">
        <v>17</v>
      </c>
      <c r="S56" s="11" t="str">
        <f>"007765"</f>
        <v>007765</v>
      </c>
      <c r="T56" s="10">
        <v>43444</v>
      </c>
      <c r="U56" s="14">
        <v>14.98245</v>
      </c>
      <c r="V56" s="14">
        <v>2.2233700000000001</v>
      </c>
      <c r="W56" s="14">
        <v>12.759080000000001</v>
      </c>
      <c r="X56" s="11">
        <v>292</v>
      </c>
      <c r="Y56" s="10">
        <v>43448</v>
      </c>
      <c r="Z56" s="11">
        <v>9845007432</v>
      </c>
      <c r="AA56" s="12" t="s">
        <v>239</v>
      </c>
      <c r="AB56" s="11" t="s">
        <v>42</v>
      </c>
      <c r="AC56" s="12" t="s">
        <v>43</v>
      </c>
      <c r="AD56" s="11" t="s">
        <v>133</v>
      </c>
      <c r="AE56" s="12" t="s">
        <v>134</v>
      </c>
      <c r="AF56" s="14">
        <f t="shared" si="0"/>
        <v>0.1498245</v>
      </c>
      <c r="AG56" s="11" t="s">
        <v>46</v>
      </c>
    </row>
    <row r="57" spans="1:33" x14ac:dyDescent="0.2">
      <c r="A57" s="8">
        <v>7879</v>
      </c>
      <c r="B57" s="9" t="s">
        <v>218</v>
      </c>
      <c r="C57" s="10">
        <v>43453</v>
      </c>
      <c r="D57" s="11">
        <v>137</v>
      </c>
      <c r="E57" s="12" t="s">
        <v>34</v>
      </c>
      <c r="F57" s="12" t="s">
        <v>35</v>
      </c>
      <c r="G57" s="12" t="s">
        <v>36</v>
      </c>
      <c r="H57" s="12" t="s">
        <v>37</v>
      </c>
      <c r="I57" s="11" t="s">
        <v>50</v>
      </c>
      <c r="J57" s="12" t="s">
        <v>51</v>
      </c>
      <c r="K57" s="13" t="s">
        <v>49</v>
      </c>
      <c r="L57" s="11" t="str">
        <f>"000245"</f>
        <v>000245</v>
      </c>
      <c r="M57" s="10">
        <v>43175</v>
      </c>
      <c r="N57" s="11" t="str">
        <f>"000076"</f>
        <v>000076</v>
      </c>
      <c r="O57" s="10">
        <v>43293</v>
      </c>
      <c r="P57" s="11" t="str">
        <f>"000147"</f>
        <v>000147</v>
      </c>
      <c r="Q57" s="10">
        <v>43293</v>
      </c>
      <c r="R57" s="11">
        <v>17</v>
      </c>
      <c r="S57" s="11" t="str">
        <f>"004371"</f>
        <v>004371</v>
      </c>
      <c r="T57" s="10">
        <v>43306</v>
      </c>
      <c r="U57" s="14">
        <v>2.9772699999999999</v>
      </c>
      <c r="V57" s="14">
        <v>0.27090999999999998</v>
      </c>
      <c r="W57" s="14">
        <v>2.7063600000000001</v>
      </c>
      <c r="X57" s="11">
        <v>296</v>
      </c>
      <c r="Y57" s="10">
        <v>43453</v>
      </c>
      <c r="Z57" s="11">
        <v>9844874041</v>
      </c>
      <c r="AA57" s="12" t="s">
        <v>95</v>
      </c>
      <c r="AB57" s="11" t="s">
        <v>53</v>
      </c>
      <c r="AC57" s="12" t="s">
        <v>54</v>
      </c>
      <c r="AD57" s="11" t="s">
        <v>44</v>
      </c>
      <c r="AE57" s="12" t="s">
        <v>45</v>
      </c>
      <c r="AF57" s="14">
        <f t="shared" si="0"/>
        <v>2.9772699999999999E-2</v>
      </c>
      <c r="AG57" s="11" t="s">
        <v>111</v>
      </c>
    </row>
    <row r="58" spans="1:33" x14ac:dyDescent="0.2">
      <c r="A58" s="8">
        <v>8054</v>
      </c>
      <c r="B58" s="9" t="s">
        <v>218</v>
      </c>
      <c r="C58" s="10">
        <v>43455</v>
      </c>
      <c r="D58" s="11">
        <v>137</v>
      </c>
      <c r="E58" s="12" t="s">
        <v>34</v>
      </c>
      <c r="F58" s="12" t="s">
        <v>35</v>
      </c>
      <c r="G58" s="12" t="s">
        <v>36</v>
      </c>
      <c r="H58" s="12" t="s">
        <v>37</v>
      </c>
      <c r="I58" s="11" t="s">
        <v>240</v>
      </c>
      <c r="J58" s="12" t="s">
        <v>241</v>
      </c>
      <c r="K58" s="13" t="s">
        <v>40</v>
      </c>
      <c r="L58" s="11" t="str">
        <f>"000280"</f>
        <v>000280</v>
      </c>
      <c r="M58" s="10">
        <v>42789</v>
      </c>
      <c r="N58" s="11" t="str">
        <f>"000287"</f>
        <v>000287</v>
      </c>
      <c r="O58" s="10">
        <v>42916</v>
      </c>
      <c r="P58" s="11" t="str">
        <f>"000286"</f>
        <v>000286</v>
      </c>
      <c r="Q58" s="10">
        <v>42916</v>
      </c>
      <c r="R58" s="11">
        <v>17</v>
      </c>
      <c r="S58" s="11" t="str">
        <f>"008098"</f>
        <v>008098</v>
      </c>
      <c r="T58" s="10">
        <v>43454</v>
      </c>
      <c r="U58" s="14">
        <v>19.981259999999999</v>
      </c>
      <c r="V58" s="14">
        <v>2.5877699999999999</v>
      </c>
      <c r="W58" s="14">
        <v>17.39349</v>
      </c>
      <c r="X58" s="11">
        <v>301</v>
      </c>
      <c r="Y58" s="10">
        <v>43455</v>
      </c>
      <c r="Z58" s="11">
        <v>9916802955</v>
      </c>
      <c r="AA58" s="12" t="s">
        <v>155</v>
      </c>
      <c r="AB58" s="11" t="s">
        <v>77</v>
      </c>
      <c r="AC58" s="12" t="s">
        <v>78</v>
      </c>
      <c r="AD58" s="11" t="s">
        <v>44</v>
      </c>
      <c r="AE58" s="12" t="s">
        <v>45</v>
      </c>
      <c r="AF58" s="14">
        <f t="shared" si="0"/>
        <v>0.19981259999999998</v>
      </c>
      <c r="AG58" s="11" t="s">
        <v>46</v>
      </c>
    </row>
    <row r="59" spans="1:33" x14ac:dyDescent="0.2">
      <c r="A59" s="8">
        <v>8854</v>
      </c>
      <c r="B59" s="9" t="s">
        <v>242</v>
      </c>
      <c r="C59" s="10">
        <v>43497</v>
      </c>
      <c r="D59" s="11">
        <v>137</v>
      </c>
      <c r="E59" s="12" t="s">
        <v>34</v>
      </c>
      <c r="F59" s="12" t="s">
        <v>35</v>
      </c>
      <c r="G59" s="12" t="s">
        <v>36</v>
      </c>
      <c r="H59" s="12" t="s">
        <v>37</v>
      </c>
      <c r="I59" s="11" t="s">
        <v>243</v>
      </c>
      <c r="J59" s="12" t="s">
        <v>244</v>
      </c>
      <c r="K59" s="13" t="s">
        <v>76</v>
      </c>
      <c r="L59" s="11" t="str">
        <f>"000060"</f>
        <v>000060</v>
      </c>
      <c r="M59" s="10">
        <v>43217</v>
      </c>
      <c r="N59" s="11" t="str">
        <f>"000011"</f>
        <v>000011</v>
      </c>
      <c r="O59" s="10">
        <v>43217</v>
      </c>
      <c r="P59" s="11" t="str">
        <f>"000016"</f>
        <v>000016</v>
      </c>
      <c r="Q59" s="10">
        <v>43217</v>
      </c>
      <c r="R59" s="11"/>
      <c r="S59" s="11" t="str">
        <f>"008534"</f>
        <v>008534</v>
      </c>
      <c r="T59" s="10">
        <v>43469</v>
      </c>
      <c r="U59" s="14">
        <v>35.509799999999998</v>
      </c>
      <c r="V59" s="14">
        <v>4.0126200000000001</v>
      </c>
      <c r="W59" s="14">
        <v>31.49718</v>
      </c>
      <c r="X59" s="11">
        <v>336</v>
      </c>
      <c r="Y59" s="10">
        <v>43497</v>
      </c>
      <c r="Z59" s="11">
        <v>9916950205</v>
      </c>
      <c r="AA59" s="12" t="s">
        <v>245</v>
      </c>
      <c r="AB59" s="11" t="s">
        <v>246</v>
      </c>
      <c r="AC59" s="12" t="s">
        <v>247</v>
      </c>
      <c r="AD59" s="11" t="s">
        <v>44</v>
      </c>
      <c r="AE59" s="12" t="s">
        <v>45</v>
      </c>
      <c r="AF59" s="14">
        <f t="shared" si="0"/>
        <v>0.35509799999999997</v>
      </c>
      <c r="AG59" s="11" t="s">
        <v>105</v>
      </c>
    </row>
    <row r="60" spans="1:33" x14ac:dyDescent="0.2">
      <c r="A60" s="8">
        <v>8855</v>
      </c>
      <c r="B60" s="9" t="s">
        <v>242</v>
      </c>
      <c r="C60" s="10">
        <v>43497</v>
      </c>
      <c r="D60" s="11">
        <v>137</v>
      </c>
      <c r="E60" s="12" t="s">
        <v>34</v>
      </c>
      <c r="F60" s="12" t="s">
        <v>35</v>
      </c>
      <c r="G60" s="12" t="s">
        <v>36</v>
      </c>
      <c r="H60" s="12" t="s">
        <v>37</v>
      </c>
      <c r="I60" s="11" t="s">
        <v>248</v>
      </c>
      <c r="J60" s="12" t="s">
        <v>249</v>
      </c>
      <c r="K60" s="13" t="s">
        <v>68</v>
      </c>
      <c r="L60" s="11" t="str">
        <f>"000015"</f>
        <v>000015</v>
      </c>
      <c r="M60" s="10">
        <v>43217</v>
      </c>
      <c r="N60" s="11" t="str">
        <f>"000013"</f>
        <v>000013</v>
      </c>
      <c r="O60" s="10">
        <v>43217</v>
      </c>
      <c r="P60" s="11" t="str">
        <f>"000018"</f>
        <v>000018</v>
      </c>
      <c r="Q60" s="10">
        <v>43217</v>
      </c>
      <c r="R60" s="11"/>
      <c r="S60" s="11" t="str">
        <f>"008535"</f>
        <v>008535</v>
      </c>
      <c r="T60" s="10">
        <v>43469</v>
      </c>
      <c r="U60" s="14">
        <v>97.178529999999995</v>
      </c>
      <c r="V60" s="14">
        <v>10.98119</v>
      </c>
      <c r="W60" s="14">
        <v>86.197339999999997</v>
      </c>
      <c r="X60" s="11">
        <v>336</v>
      </c>
      <c r="Y60" s="10">
        <v>43497</v>
      </c>
      <c r="Z60" s="11">
        <v>9916950205</v>
      </c>
      <c r="AA60" s="12" t="s">
        <v>250</v>
      </c>
      <c r="AB60" s="11" t="s">
        <v>42</v>
      </c>
      <c r="AC60" s="12" t="s">
        <v>43</v>
      </c>
      <c r="AD60" s="11" t="s">
        <v>44</v>
      </c>
      <c r="AE60" s="12" t="s">
        <v>45</v>
      </c>
      <c r="AF60" s="14">
        <f t="shared" si="0"/>
        <v>0.97178529999999996</v>
      </c>
      <c r="AG60" s="11" t="s">
        <v>105</v>
      </c>
    </row>
    <row r="61" spans="1:33" x14ac:dyDescent="0.2">
      <c r="A61" s="8">
        <v>8857</v>
      </c>
      <c r="B61" s="9" t="s">
        <v>242</v>
      </c>
      <c r="C61" s="10">
        <v>43497</v>
      </c>
      <c r="D61" s="11">
        <v>137</v>
      </c>
      <c r="E61" s="12" t="s">
        <v>34</v>
      </c>
      <c r="F61" s="12" t="s">
        <v>35</v>
      </c>
      <c r="G61" s="12" t="s">
        <v>36</v>
      </c>
      <c r="H61" s="12" t="s">
        <v>37</v>
      </c>
      <c r="I61" s="11" t="s">
        <v>251</v>
      </c>
      <c r="J61" s="12" t="s">
        <v>252</v>
      </c>
      <c r="K61" s="13" t="s">
        <v>76</v>
      </c>
      <c r="L61" s="11" t="str">
        <f>"000054"</f>
        <v>000054</v>
      </c>
      <c r="M61" s="10">
        <v>43217</v>
      </c>
      <c r="N61" s="11" t="str">
        <f>"000010"</f>
        <v>000010</v>
      </c>
      <c r="O61" s="10">
        <v>43217</v>
      </c>
      <c r="P61" s="11" t="str">
        <f>"000021"</f>
        <v>000021</v>
      </c>
      <c r="Q61" s="10">
        <v>43217</v>
      </c>
      <c r="R61" s="11"/>
      <c r="S61" s="11" t="str">
        <f>"008537"</f>
        <v>008537</v>
      </c>
      <c r="T61" s="10">
        <v>43469</v>
      </c>
      <c r="U61" s="14">
        <v>22.19774</v>
      </c>
      <c r="V61" s="14">
        <v>2.7303199999999999</v>
      </c>
      <c r="W61" s="14">
        <v>19.467420000000001</v>
      </c>
      <c r="X61" s="11">
        <v>336</v>
      </c>
      <c r="Y61" s="10">
        <v>43497</v>
      </c>
      <c r="Z61" s="11">
        <v>9916950205</v>
      </c>
      <c r="AA61" s="12" t="s">
        <v>253</v>
      </c>
      <c r="AB61" s="11" t="s">
        <v>254</v>
      </c>
      <c r="AC61" s="12" t="s">
        <v>255</v>
      </c>
      <c r="AD61" s="11" t="s">
        <v>44</v>
      </c>
      <c r="AE61" s="12" t="s">
        <v>45</v>
      </c>
      <c r="AF61" s="14">
        <f t="shared" si="0"/>
        <v>0.22197739999999999</v>
      </c>
      <c r="AG61" s="11" t="s">
        <v>105</v>
      </c>
    </row>
    <row r="62" spans="1:33" x14ac:dyDescent="0.2">
      <c r="A62" s="8">
        <v>8858</v>
      </c>
      <c r="B62" s="9" t="s">
        <v>242</v>
      </c>
      <c r="C62" s="10">
        <v>43497</v>
      </c>
      <c r="D62" s="11">
        <v>137</v>
      </c>
      <c r="E62" s="12" t="s">
        <v>34</v>
      </c>
      <c r="F62" s="12" t="s">
        <v>35</v>
      </c>
      <c r="G62" s="12" t="s">
        <v>36</v>
      </c>
      <c r="H62" s="12" t="s">
        <v>37</v>
      </c>
      <c r="I62" s="11" t="s">
        <v>256</v>
      </c>
      <c r="J62" s="12" t="s">
        <v>257</v>
      </c>
      <c r="K62" s="13" t="s">
        <v>68</v>
      </c>
      <c r="L62" s="11" t="str">
        <f>"000075"</f>
        <v>000075</v>
      </c>
      <c r="M62" s="10">
        <v>43217</v>
      </c>
      <c r="N62" s="11" t="str">
        <f>"000015"</f>
        <v>000015</v>
      </c>
      <c r="O62" s="10">
        <v>43217</v>
      </c>
      <c r="P62" s="11" t="str">
        <f>"000024"</f>
        <v>000024</v>
      </c>
      <c r="Q62" s="10">
        <v>43217</v>
      </c>
      <c r="R62" s="11"/>
      <c r="S62" s="11" t="str">
        <f>"008538"</f>
        <v>008538</v>
      </c>
      <c r="T62" s="10">
        <v>43469</v>
      </c>
      <c r="U62" s="14">
        <v>97.087370000000007</v>
      </c>
      <c r="V62" s="14">
        <v>10.97086</v>
      </c>
      <c r="W62" s="14">
        <v>86.116510000000005</v>
      </c>
      <c r="X62" s="11">
        <v>336</v>
      </c>
      <c r="Y62" s="10">
        <v>43497</v>
      </c>
      <c r="Z62" s="11">
        <v>9916950205</v>
      </c>
      <c r="AA62" s="12" t="s">
        <v>250</v>
      </c>
      <c r="AB62" s="11" t="s">
        <v>42</v>
      </c>
      <c r="AC62" s="12" t="s">
        <v>43</v>
      </c>
      <c r="AD62" s="11" t="s">
        <v>44</v>
      </c>
      <c r="AE62" s="12" t="s">
        <v>45</v>
      </c>
      <c r="AF62" s="14">
        <f t="shared" si="0"/>
        <v>0.97087370000000006</v>
      </c>
      <c r="AG62" s="11" t="s">
        <v>105</v>
      </c>
    </row>
    <row r="63" spans="1:33" x14ac:dyDescent="0.2">
      <c r="A63" s="8">
        <v>8867</v>
      </c>
      <c r="B63" s="9" t="s">
        <v>242</v>
      </c>
      <c r="C63" s="10">
        <v>43497</v>
      </c>
      <c r="D63" s="11">
        <v>137</v>
      </c>
      <c r="E63" s="12" t="s">
        <v>34</v>
      </c>
      <c r="F63" s="12" t="s">
        <v>35</v>
      </c>
      <c r="G63" s="12" t="s">
        <v>36</v>
      </c>
      <c r="H63" s="12" t="s">
        <v>37</v>
      </c>
      <c r="I63" s="11" t="s">
        <v>258</v>
      </c>
      <c r="J63" s="12" t="s">
        <v>259</v>
      </c>
      <c r="K63" s="13" t="s">
        <v>68</v>
      </c>
      <c r="L63" s="11" t="str">
        <f>"000072"</f>
        <v>000072</v>
      </c>
      <c r="M63" s="10">
        <v>43217</v>
      </c>
      <c r="N63" s="11" t="str">
        <f>"000014"</f>
        <v>000014</v>
      </c>
      <c r="O63" s="10">
        <v>43217</v>
      </c>
      <c r="P63" s="11" t="str">
        <f>"000052"</f>
        <v>000052</v>
      </c>
      <c r="Q63" s="10">
        <v>43218</v>
      </c>
      <c r="R63" s="11"/>
      <c r="S63" s="11" t="str">
        <f>"008547"</f>
        <v>008547</v>
      </c>
      <c r="T63" s="10">
        <v>43469</v>
      </c>
      <c r="U63" s="14">
        <v>16.633109999999999</v>
      </c>
      <c r="V63" s="14">
        <v>1.9626999999999999</v>
      </c>
      <c r="W63" s="14">
        <v>14.67041</v>
      </c>
      <c r="X63" s="11">
        <v>336</v>
      </c>
      <c r="Y63" s="10">
        <v>43497</v>
      </c>
      <c r="Z63" s="11">
        <v>9916950205</v>
      </c>
      <c r="AA63" s="12" t="s">
        <v>253</v>
      </c>
      <c r="AB63" s="11" t="s">
        <v>260</v>
      </c>
      <c r="AC63" s="12" t="s">
        <v>261</v>
      </c>
      <c r="AD63" s="11" t="s">
        <v>44</v>
      </c>
      <c r="AE63" s="12" t="s">
        <v>45</v>
      </c>
      <c r="AF63" s="14">
        <f t="shared" si="0"/>
        <v>0.16633109999999998</v>
      </c>
      <c r="AG63" s="11" t="s">
        <v>105</v>
      </c>
    </row>
    <row r="64" spans="1:33" x14ac:dyDescent="0.2">
      <c r="A64" s="8">
        <v>8871</v>
      </c>
      <c r="B64" s="9" t="s">
        <v>242</v>
      </c>
      <c r="C64" s="10">
        <v>43497</v>
      </c>
      <c r="D64" s="11">
        <v>137</v>
      </c>
      <c r="E64" s="12" t="s">
        <v>34</v>
      </c>
      <c r="F64" s="12" t="s">
        <v>35</v>
      </c>
      <c r="G64" s="12" t="s">
        <v>36</v>
      </c>
      <c r="H64" s="12" t="s">
        <v>37</v>
      </c>
      <c r="I64" s="11" t="s">
        <v>262</v>
      </c>
      <c r="J64" s="12" t="s">
        <v>263</v>
      </c>
      <c r="K64" s="13" t="s">
        <v>76</v>
      </c>
      <c r="L64" s="11" t="str">
        <f>"000047"</f>
        <v>000047</v>
      </c>
      <c r="M64" s="10">
        <v>43217</v>
      </c>
      <c r="N64" s="11" t="str">
        <f>"000017"</f>
        <v>000017</v>
      </c>
      <c r="O64" s="10">
        <v>43217</v>
      </c>
      <c r="P64" s="11" t="str">
        <f>"000058"</f>
        <v>000058</v>
      </c>
      <c r="Q64" s="10">
        <v>43218</v>
      </c>
      <c r="R64" s="11"/>
      <c r="S64" s="11" t="str">
        <f>"008619"</f>
        <v>008619</v>
      </c>
      <c r="T64" s="10">
        <v>43472</v>
      </c>
      <c r="U64" s="14">
        <v>11.09502</v>
      </c>
      <c r="V64" s="14">
        <v>1.3092200000000001</v>
      </c>
      <c r="W64" s="14">
        <v>9.7858000000000001</v>
      </c>
      <c r="X64" s="11">
        <v>336</v>
      </c>
      <c r="Y64" s="10">
        <v>43497</v>
      </c>
      <c r="Z64" s="11">
        <v>9916950205</v>
      </c>
      <c r="AA64" s="12" t="s">
        <v>253</v>
      </c>
      <c r="AB64" s="11" t="s">
        <v>264</v>
      </c>
      <c r="AC64" s="12" t="s">
        <v>265</v>
      </c>
      <c r="AD64" s="11" t="s">
        <v>44</v>
      </c>
      <c r="AE64" s="12" t="s">
        <v>45</v>
      </c>
      <c r="AF64" s="14">
        <f t="shared" si="0"/>
        <v>0.1109502</v>
      </c>
      <c r="AG64" s="11" t="s">
        <v>105</v>
      </c>
    </row>
    <row r="65" spans="1:33" x14ac:dyDescent="0.2">
      <c r="A65" s="8">
        <v>8874</v>
      </c>
      <c r="B65" s="9" t="s">
        <v>242</v>
      </c>
      <c r="C65" s="10">
        <v>43497</v>
      </c>
      <c r="D65" s="11">
        <v>137</v>
      </c>
      <c r="E65" s="12" t="s">
        <v>34</v>
      </c>
      <c r="F65" s="12" t="s">
        <v>35</v>
      </c>
      <c r="G65" s="12" t="s">
        <v>36</v>
      </c>
      <c r="H65" s="12" t="s">
        <v>37</v>
      </c>
      <c r="I65" s="11" t="s">
        <v>266</v>
      </c>
      <c r="J65" s="12" t="s">
        <v>267</v>
      </c>
      <c r="K65" s="13" t="s">
        <v>76</v>
      </c>
      <c r="L65" s="11" t="str">
        <f>"000069"</f>
        <v>000069</v>
      </c>
      <c r="M65" s="10">
        <v>43217</v>
      </c>
      <c r="N65" s="11" t="str">
        <f>"000018"</f>
        <v>000018</v>
      </c>
      <c r="O65" s="10">
        <v>43218</v>
      </c>
      <c r="P65" s="11" t="str">
        <f>"000069"</f>
        <v>000069</v>
      </c>
      <c r="Q65" s="10">
        <v>43218</v>
      </c>
      <c r="R65" s="11"/>
      <c r="S65" s="11" t="str">
        <f>"008622"</f>
        <v>008622</v>
      </c>
      <c r="T65" s="10">
        <v>43472</v>
      </c>
      <c r="U65" s="14">
        <v>33.298780000000001</v>
      </c>
      <c r="V65" s="14">
        <v>4.0957600000000003</v>
      </c>
      <c r="W65" s="14">
        <v>29.203019999999999</v>
      </c>
      <c r="X65" s="11">
        <v>336</v>
      </c>
      <c r="Y65" s="10">
        <v>43497</v>
      </c>
      <c r="Z65" s="11">
        <v>9916950205</v>
      </c>
      <c r="AA65" s="12" t="s">
        <v>253</v>
      </c>
      <c r="AB65" s="11" t="s">
        <v>268</v>
      </c>
      <c r="AC65" s="12" t="s">
        <v>269</v>
      </c>
      <c r="AD65" s="11" t="s">
        <v>44</v>
      </c>
      <c r="AE65" s="12" t="s">
        <v>45</v>
      </c>
      <c r="AF65" s="14">
        <f t="shared" si="0"/>
        <v>0.3329878</v>
      </c>
      <c r="AG65" s="11" t="s">
        <v>105</v>
      </c>
    </row>
    <row r="66" spans="1:33" x14ac:dyDescent="0.2">
      <c r="A66" s="8">
        <v>8909</v>
      </c>
      <c r="B66" s="9" t="s">
        <v>242</v>
      </c>
      <c r="C66" s="10">
        <v>43497</v>
      </c>
      <c r="D66" s="11">
        <v>137</v>
      </c>
      <c r="E66" s="12" t="s">
        <v>34</v>
      </c>
      <c r="F66" s="12" t="s">
        <v>35</v>
      </c>
      <c r="G66" s="12" t="s">
        <v>36</v>
      </c>
      <c r="H66" s="12" t="s">
        <v>37</v>
      </c>
      <c r="I66" s="11" t="s">
        <v>270</v>
      </c>
      <c r="J66" s="12" t="s">
        <v>271</v>
      </c>
      <c r="K66" s="13" t="s">
        <v>57</v>
      </c>
      <c r="L66" s="11" t="str">
        <f>"000229"</f>
        <v>000229</v>
      </c>
      <c r="M66" s="10">
        <v>43157</v>
      </c>
      <c r="N66" s="11" t="str">
        <f>"000083"</f>
        <v>000083</v>
      </c>
      <c r="O66" s="10">
        <v>43157</v>
      </c>
      <c r="P66" s="11" t="str">
        <f>"000003"</f>
        <v>000003</v>
      </c>
      <c r="Q66" s="10">
        <v>43202</v>
      </c>
      <c r="R66" s="11"/>
      <c r="S66" s="11" t="str">
        <f>"008669"</f>
        <v>008669</v>
      </c>
      <c r="T66" s="10">
        <v>43472</v>
      </c>
      <c r="U66" s="14">
        <v>4.9984999999999999</v>
      </c>
      <c r="V66" s="14">
        <v>0.47982000000000002</v>
      </c>
      <c r="W66" s="14">
        <v>4.5186799999999998</v>
      </c>
      <c r="X66" s="11">
        <v>336</v>
      </c>
      <c r="Y66" s="10">
        <v>43497</v>
      </c>
      <c r="Z66" s="11">
        <v>9958296582</v>
      </c>
      <c r="AA66" s="12" t="s">
        <v>272</v>
      </c>
      <c r="AB66" s="11" t="s">
        <v>77</v>
      </c>
      <c r="AC66" s="12" t="s">
        <v>78</v>
      </c>
      <c r="AD66" s="11" t="s">
        <v>44</v>
      </c>
      <c r="AE66" s="12" t="s">
        <v>45</v>
      </c>
      <c r="AF66" s="14">
        <f t="shared" si="0"/>
        <v>4.9985000000000002E-2</v>
      </c>
      <c r="AG66" s="11" t="s">
        <v>111</v>
      </c>
    </row>
    <row r="67" spans="1:33" x14ac:dyDescent="0.2">
      <c r="A67" s="8">
        <v>8912</v>
      </c>
      <c r="B67" s="9" t="s">
        <v>242</v>
      </c>
      <c r="C67" s="10">
        <v>43497</v>
      </c>
      <c r="D67" s="11">
        <v>137</v>
      </c>
      <c r="E67" s="12" t="s">
        <v>34</v>
      </c>
      <c r="F67" s="12" t="s">
        <v>35</v>
      </c>
      <c r="G67" s="12" t="s">
        <v>36</v>
      </c>
      <c r="H67" s="12" t="s">
        <v>37</v>
      </c>
      <c r="I67" s="11" t="s">
        <v>273</v>
      </c>
      <c r="J67" s="12" t="s">
        <v>274</v>
      </c>
      <c r="K67" s="13" t="s">
        <v>76</v>
      </c>
      <c r="L67" s="11" t="str">
        <f>"000186"</f>
        <v>000186</v>
      </c>
      <c r="M67" s="10">
        <v>43355</v>
      </c>
      <c r="N67" s="11" t="str">
        <f>"000097"</f>
        <v>000097</v>
      </c>
      <c r="O67" s="10">
        <v>43355</v>
      </c>
      <c r="P67" s="11" t="str">
        <f>"000177"</f>
        <v>000177</v>
      </c>
      <c r="Q67" s="10">
        <v>43356</v>
      </c>
      <c r="R67" s="11"/>
      <c r="S67" s="11" t="str">
        <f>"008753"</f>
        <v>008753</v>
      </c>
      <c r="T67" s="10">
        <v>43482</v>
      </c>
      <c r="U67" s="14">
        <v>46.690420000000003</v>
      </c>
      <c r="V67" s="14">
        <v>5.0892600000000003</v>
      </c>
      <c r="W67" s="14">
        <v>41.60116</v>
      </c>
      <c r="X67" s="11">
        <v>337</v>
      </c>
      <c r="Y67" s="10">
        <v>43497</v>
      </c>
      <c r="Z67" s="11">
        <v>9916950205</v>
      </c>
      <c r="AA67" s="12" t="s">
        <v>69</v>
      </c>
      <c r="AB67" s="11" t="s">
        <v>59</v>
      </c>
      <c r="AC67" s="12" t="s">
        <v>60</v>
      </c>
      <c r="AD67" s="11" t="s">
        <v>44</v>
      </c>
      <c r="AE67" s="12" t="s">
        <v>45</v>
      </c>
      <c r="AF67" s="14">
        <f t="shared" si="0"/>
        <v>0.46690420000000005</v>
      </c>
      <c r="AG67" s="11" t="s">
        <v>105</v>
      </c>
    </row>
    <row r="68" spans="1:33" x14ac:dyDescent="0.2">
      <c r="A68" s="8">
        <v>8915</v>
      </c>
      <c r="B68" s="9" t="s">
        <v>242</v>
      </c>
      <c r="C68" s="10">
        <v>43497</v>
      </c>
      <c r="D68" s="11">
        <v>137</v>
      </c>
      <c r="E68" s="12" t="s">
        <v>34</v>
      </c>
      <c r="F68" s="12" t="s">
        <v>35</v>
      </c>
      <c r="G68" s="12" t="s">
        <v>36</v>
      </c>
      <c r="H68" s="12" t="s">
        <v>37</v>
      </c>
      <c r="I68" s="11" t="s">
        <v>275</v>
      </c>
      <c r="J68" s="12" t="s">
        <v>276</v>
      </c>
      <c r="K68" s="13" t="s">
        <v>40</v>
      </c>
      <c r="L68" s="11" t="str">
        <f>"000181"</f>
        <v>000181</v>
      </c>
      <c r="M68" s="10">
        <v>43355</v>
      </c>
      <c r="N68" s="11" t="str">
        <f>"000098"</f>
        <v>000098</v>
      </c>
      <c r="O68" s="10">
        <v>43355</v>
      </c>
      <c r="P68" s="11" t="str">
        <f>"000172"</f>
        <v>000172</v>
      </c>
      <c r="Q68" s="10">
        <v>43355</v>
      </c>
      <c r="R68" s="11"/>
      <c r="S68" s="11" t="str">
        <f>"008756"</f>
        <v>008756</v>
      </c>
      <c r="T68" s="10">
        <v>43482</v>
      </c>
      <c r="U68" s="14">
        <v>24.2456</v>
      </c>
      <c r="V68" s="14">
        <v>2.6527799999999999</v>
      </c>
      <c r="W68" s="14">
        <v>21.59282</v>
      </c>
      <c r="X68" s="11">
        <v>337</v>
      </c>
      <c r="Y68" s="10">
        <v>43497</v>
      </c>
      <c r="Z68" s="11">
        <v>9916950205</v>
      </c>
      <c r="AA68" s="12" t="s">
        <v>41</v>
      </c>
      <c r="AB68" s="11" t="s">
        <v>59</v>
      </c>
      <c r="AC68" s="12" t="s">
        <v>60</v>
      </c>
      <c r="AD68" s="11" t="s">
        <v>44</v>
      </c>
      <c r="AE68" s="12" t="s">
        <v>45</v>
      </c>
      <c r="AF68" s="14">
        <f t="shared" si="0"/>
        <v>0.242456</v>
      </c>
      <c r="AG68" s="11" t="s">
        <v>105</v>
      </c>
    </row>
    <row r="69" spans="1:33" x14ac:dyDescent="0.2">
      <c r="A69" s="8">
        <v>9356</v>
      </c>
      <c r="B69" s="9" t="s">
        <v>242</v>
      </c>
      <c r="C69" s="10">
        <v>43521</v>
      </c>
      <c r="D69" s="11">
        <v>137</v>
      </c>
      <c r="E69" s="12" t="s">
        <v>34</v>
      </c>
      <c r="F69" s="12" t="s">
        <v>35</v>
      </c>
      <c r="G69" s="12" t="s">
        <v>36</v>
      </c>
      <c r="H69" s="12" t="s">
        <v>37</v>
      </c>
      <c r="I69" s="11" t="s">
        <v>277</v>
      </c>
      <c r="J69" s="12" t="s">
        <v>278</v>
      </c>
      <c r="K69" s="13" t="s">
        <v>202</v>
      </c>
      <c r="L69" s="11" t="str">
        <f>"000043"</f>
        <v>000043</v>
      </c>
      <c r="M69" s="10">
        <v>43217</v>
      </c>
      <c r="N69" s="11" t="str">
        <f>""</f>
        <v/>
      </c>
      <c r="O69" s="10">
        <v>43221</v>
      </c>
      <c r="P69" s="11" t="str">
        <f>""</f>
        <v/>
      </c>
      <c r="Q69" s="10"/>
      <c r="R69" s="11"/>
      <c r="S69" s="11" t="str">
        <f>""</f>
        <v/>
      </c>
      <c r="T69" s="10"/>
      <c r="U69" s="14">
        <v>15.757709999999999</v>
      </c>
      <c r="V69" s="14">
        <v>1.70184</v>
      </c>
      <c r="W69" s="14">
        <v>14.055870000000001</v>
      </c>
      <c r="X69" s="11">
        <v>360</v>
      </c>
      <c r="Y69" s="10">
        <v>43521</v>
      </c>
      <c r="Z69" s="11">
        <v>9916950205</v>
      </c>
      <c r="AA69" s="12" t="s">
        <v>279</v>
      </c>
      <c r="AB69" s="11" t="s">
        <v>280</v>
      </c>
      <c r="AC69" s="12" t="s">
        <v>281</v>
      </c>
      <c r="AD69" s="11" t="s">
        <v>44</v>
      </c>
      <c r="AE69" s="12" t="s">
        <v>45</v>
      </c>
      <c r="AF69" s="14">
        <f t="shared" si="0"/>
        <v>0.1575771</v>
      </c>
      <c r="AG69" s="11" t="s">
        <v>111</v>
      </c>
    </row>
    <row r="70" spans="1:33" x14ac:dyDescent="0.2">
      <c r="A70" s="8">
        <v>9367</v>
      </c>
      <c r="B70" s="9" t="s">
        <v>242</v>
      </c>
      <c r="C70" s="10">
        <v>43521</v>
      </c>
      <c r="D70" s="11">
        <v>137</v>
      </c>
      <c r="E70" s="12" t="s">
        <v>34</v>
      </c>
      <c r="F70" s="12" t="s">
        <v>35</v>
      </c>
      <c r="G70" s="12" t="s">
        <v>36</v>
      </c>
      <c r="H70" s="12" t="s">
        <v>37</v>
      </c>
      <c r="I70" s="11" t="s">
        <v>282</v>
      </c>
      <c r="J70" s="12" t="s">
        <v>283</v>
      </c>
      <c r="K70" s="13" t="s">
        <v>76</v>
      </c>
      <c r="L70" s="11" t="str">
        <f>"000022"</f>
        <v>000022</v>
      </c>
      <c r="M70" s="10">
        <v>41222</v>
      </c>
      <c r="N70" s="11" t="str">
        <f>"00**11"</f>
        <v>00**11</v>
      </c>
      <c r="O70" s="10">
        <v>42165</v>
      </c>
      <c r="P70" s="11" t="str">
        <f>"000338"</f>
        <v>000338</v>
      </c>
      <c r="Q70" s="10">
        <v>42273</v>
      </c>
      <c r="R70" s="11"/>
      <c r="S70" s="11" t="str">
        <f>"003042"</f>
        <v>003042</v>
      </c>
      <c r="T70" s="10">
        <v>42900</v>
      </c>
      <c r="U70" s="14">
        <v>13.37603</v>
      </c>
      <c r="V70" s="14">
        <v>0.28088999999999997</v>
      </c>
      <c r="W70" s="14">
        <v>13.095140000000001</v>
      </c>
      <c r="X70" s="11">
        <v>360</v>
      </c>
      <c r="Y70" s="10">
        <v>43521</v>
      </c>
      <c r="Z70" s="11">
        <v>9845524294</v>
      </c>
      <c r="AA70" s="12" t="s">
        <v>284</v>
      </c>
      <c r="AB70" s="11" t="s">
        <v>285</v>
      </c>
      <c r="AC70" s="12" t="s">
        <v>286</v>
      </c>
      <c r="AD70" s="11" t="s">
        <v>225</v>
      </c>
      <c r="AE70" s="12" t="s">
        <v>226</v>
      </c>
      <c r="AF70" s="14">
        <f t="shared" si="0"/>
        <v>0.1337603</v>
      </c>
      <c r="AG70" s="11" t="s">
        <v>46</v>
      </c>
    </row>
    <row r="71" spans="1:33" x14ac:dyDescent="0.2">
      <c r="A71" s="8">
        <v>9390</v>
      </c>
      <c r="B71" s="9" t="s">
        <v>242</v>
      </c>
      <c r="C71" s="10">
        <v>43521</v>
      </c>
      <c r="D71" s="11">
        <v>137</v>
      </c>
      <c r="E71" s="12" t="s">
        <v>34</v>
      </c>
      <c r="F71" s="12" t="s">
        <v>35</v>
      </c>
      <c r="G71" s="12" t="s">
        <v>36</v>
      </c>
      <c r="H71" s="12" t="s">
        <v>37</v>
      </c>
      <c r="I71" s="11" t="s">
        <v>287</v>
      </c>
      <c r="J71" s="12" t="s">
        <v>288</v>
      </c>
      <c r="K71" s="13" t="s">
        <v>68</v>
      </c>
      <c r="L71" s="11" t="str">
        <f>"000254"</f>
        <v>000254</v>
      </c>
      <c r="M71" s="10">
        <v>43184</v>
      </c>
      <c r="N71" s="11" t="str">
        <f>"000087"</f>
        <v>000087</v>
      </c>
      <c r="O71" s="10">
        <v>43185</v>
      </c>
      <c r="P71" s="11" t="str">
        <f>"000242"</f>
        <v>000242</v>
      </c>
      <c r="Q71" s="10">
        <v>43185</v>
      </c>
      <c r="R71" s="11"/>
      <c r="S71" s="11" t="str">
        <f>"009395"</f>
        <v>009395</v>
      </c>
      <c r="T71" s="10">
        <v>43518</v>
      </c>
      <c r="U71" s="14">
        <v>14.62495</v>
      </c>
      <c r="V71" s="14">
        <v>1.5794900000000001</v>
      </c>
      <c r="W71" s="14">
        <v>13.04546</v>
      </c>
      <c r="X71" s="11">
        <v>360</v>
      </c>
      <c r="Y71" s="10">
        <v>43521</v>
      </c>
      <c r="Z71" s="11">
        <v>9916950205</v>
      </c>
      <c r="AA71" s="12" t="s">
        <v>41</v>
      </c>
      <c r="AB71" s="11" t="s">
        <v>260</v>
      </c>
      <c r="AC71" s="12" t="s">
        <v>261</v>
      </c>
      <c r="AD71" s="11" t="s">
        <v>44</v>
      </c>
      <c r="AE71" s="12" t="s">
        <v>45</v>
      </c>
      <c r="AF71" s="14">
        <f t="shared" si="0"/>
        <v>0.1462495</v>
      </c>
      <c r="AG71" s="11" t="s">
        <v>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2019-06-13T11:54:07Z</dcterms:modified>
</cp:coreProperties>
</file>