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8" i="1" l="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<sst xmlns="http://schemas.openxmlformats.org/spreadsheetml/2006/main" count="551" uniqueCount="168">
  <si>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</si>
  <si>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</si>
  <si>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</si>
  <si>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</si>
  <si>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</si>
  <si>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</si>
  <si>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</si>
  <si>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</si>
  <si>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</si>
  <si>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</si>
  <si>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</si>
  <si>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</si>
  <si>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</si>
  <si>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</si>
  <si>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</si>
  <si>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</si>
  <si>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</si>
  <si>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</si>
  <si>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</si>
  <si>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</si>
  <si>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</si>
  <si>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</si>
  <si>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</si>
  <si>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</si>
  <si>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</si>
  <si>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</si>
  <si>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</si>
  <si>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</si>
  <si>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</si>
  <si>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</si>
  <si>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</si>
  <si>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</si>
  <si>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</si>
  <si>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</si>
  <si>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Chelavadi Palya</t>
  </si>
  <si>
    <t>Jagajeevanram Nagara</t>
  </si>
  <si>
    <t>Chamaraja Pete</t>
  </si>
  <si>
    <t>West</t>
  </si>
  <si>
    <t>138-17-000032</t>
  </si>
  <si>
    <t>Providing Modren Dust Bin in Bangalore City in ward no 138</t>
  </si>
  <si>
    <t>Other Ward Works</t>
  </si>
  <si>
    <t>M R Srinivas</t>
  </si>
  <si>
    <t>P3110</t>
  </si>
  <si>
    <t>14th Finance Commission Grant Works</t>
  </si>
  <si>
    <t>ddo268</t>
  </si>
  <si>
    <t xml:space="preserve"> Assistant Executive Engineer J J R nagar West Zone</t>
  </si>
  <si>
    <t>Pending</t>
  </si>
  <si>
    <t>June</t>
  </si>
  <si>
    <t>138-16-000018</t>
  </si>
  <si>
    <t>Improvement to road and Hume pipe Drian for 4th, 5th, 6th, cross, Anjanappa Garden New Layout in Ward no 138</t>
  </si>
  <si>
    <t>Roads &amp; Drivablility</t>
  </si>
  <si>
    <t>M R YogeshKumar</t>
  </si>
  <si>
    <t>P0190</t>
  </si>
  <si>
    <t>Works sanctioned by Hon Mayor</t>
  </si>
  <si>
    <t>138-16-000003</t>
  </si>
  <si>
    <t>Improvements to road and drain in Jai Bheema nagar in ward no 138</t>
  </si>
  <si>
    <t>M R Yogesh Kumar</t>
  </si>
  <si>
    <t>P1771</t>
  </si>
  <si>
    <t>Zone Works - POW Works</t>
  </si>
  <si>
    <t>138-16-000005</t>
  </si>
  <si>
    <t>Improvements to road and drain in10th A, B, C Cross in Flower garden in ward no 138</t>
  </si>
  <si>
    <t>138-16-000020</t>
  </si>
  <si>
    <t>Improvement to road to Old Pension Mohalla and surrounding areas in ward no 138</t>
  </si>
  <si>
    <t>MR YogeshKumar</t>
  </si>
  <si>
    <t>138-16-000021</t>
  </si>
  <si>
    <t>Improvement to road to Cheluvadipalya in ward no 138</t>
  </si>
  <si>
    <t>138-16-000023</t>
  </si>
  <si>
    <t>Improvement to drain and Cement concrete road near Almas School in ward no 138</t>
  </si>
  <si>
    <t>Footpaths &amp; Walkability</t>
  </si>
  <si>
    <t>July</t>
  </si>
  <si>
    <t>138-17-000024</t>
  </si>
  <si>
    <t>Sinking borwell and water supply connection at Siddarthnagar and surrounding area in ward no-138</t>
  </si>
  <si>
    <t>Water &amp; Sanitary</t>
  </si>
  <si>
    <t>P1802</t>
  </si>
  <si>
    <t>Water Supply New Areas</t>
  </si>
  <si>
    <t>138-17-000014</t>
  </si>
  <si>
    <t>Improvements to Toilet blocks at Flower Garden and Anjanappa Garden in Ward No. 138</t>
  </si>
  <si>
    <t>Health &amp; Sanitation</t>
  </si>
  <si>
    <t>M.R.Yogesh Kumar</t>
  </si>
  <si>
    <t>138-17-000013</t>
  </si>
  <si>
    <t>Improvements to BR Ambedkar library at TCM Royan Road in ward No. 138</t>
  </si>
  <si>
    <t>138-16-000017</t>
  </si>
  <si>
    <t>Drilling of Borewell and pipe line at ward no 138</t>
  </si>
  <si>
    <t>P2178</t>
  </si>
  <si>
    <t>Works sanctioned by Dy. Mayor</t>
  </si>
  <si>
    <t>138-17-000031</t>
  </si>
  <si>
    <t>Engagement of Gangman and Hiring of Tractor Tippers for cleaning and Maintenance of road side drains and other cleaning works in works in ward no138</t>
  </si>
  <si>
    <t>Current</t>
  </si>
  <si>
    <t>138-17-000003</t>
  </si>
  <si>
    <t>Improvements to drains and CC road at Bhangi colony in ward no 138</t>
  </si>
  <si>
    <t>P3111</t>
  </si>
  <si>
    <t>State Finance Commission Untied Grant Works</t>
  </si>
  <si>
    <t>August</t>
  </si>
  <si>
    <t>138-17-000023</t>
  </si>
  <si>
    <t>Maintenence and repairs to BBMP library in ward no-138</t>
  </si>
  <si>
    <t>P2023</t>
  </si>
  <si>
    <t>Allocation for Other Programmes (10.88 Lakhs , New Ward)</t>
  </si>
  <si>
    <t>September</t>
  </si>
  <si>
    <t>138-16-000016</t>
  </si>
  <si>
    <t>Providing poles, LED fittings, cable control switch etc., at ward no 138</t>
  </si>
  <si>
    <t>The Technical Manager</t>
  </si>
  <si>
    <t>ddo209</t>
  </si>
  <si>
    <t xml:space="preserve"> Assistant Executive Engineer Electrical West Zone</t>
  </si>
  <si>
    <t>138-17-000001</t>
  </si>
  <si>
    <t>Rejuvunation and Construction of Kennels in Veterinary Hospital Premises in ward no 138</t>
  </si>
  <si>
    <t>M.R.YOGESH KUMAR.</t>
  </si>
  <si>
    <t>P0273</t>
  </si>
  <si>
    <t>Street Dog Management</t>
  </si>
  <si>
    <t>138-17-000007</t>
  </si>
  <si>
    <t>Construction of Toilet blocks in ward No. 138</t>
  </si>
  <si>
    <t>138-17-000015</t>
  </si>
  <si>
    <t>Improvements to Anganawadi School at Giripuram in ward No. 138</t>
  </si>
  <si>
    <t>Education</t>
  </si>
  <si>
    <t>October</t>
  </si>
  <si>
    <t>138-17-000030</t>
  </si>
  <si>
    <t>Providing CC Camera at Garbage Block Spots in ward no 138</t>
  </si>
  <si>
    <t>Crime &amp; Safety</t>
  </si>
  <si>
    <t xml:space="preserve">M R Srinivas </t>
  </si>
  <si>
    <t>November</t>
  </si>
  <si>
    <t>138-17-000016</t>
  </si>
  <si>
    <t>Drilling of new Borewells and Maintanance and repairs of old borewells in ward No. 138</t>
  </si>
  <si>
    <t>138-18-000035</t>
  </si>
  <si>
    <t xml:space="preserve">Development works for Indira Canteen in ward no138 </t>
  </si>
  <si>
    <t>Indira Canteen</t>
  </si>
  <si>
    <t>KRIDL</t>
  </si>
  <si>
    <t>P3106</t>
  </si>
  <si>
    <t>Nagarothana Works</t>
  </si>
  <si>
    <t>December</t>
  </si>
  <si>
    <t>138-17-000010</t>
  </si>
  <si>
    <t>Improvements to Drain and footpath near veternary hospital in ward No. 138</t>
  </si>
  <si>
    <t>138-17-000009</t>
  </si>
  <si>
    <t>Improvements to footpath at TCM Royan Road in Ward No. 138</t>
  </si>
  <si>
    <t>138-16-000019</t>
  </si>
  <si>
    <t>Improvement to road to Siddarthanagar and surrounding areas in ward no 138</t>
  </si>
  <si>
    <t>138-18-000009</t>
  </si>
  <si>
    <t>Providing Borewell and water supply Siddarthanagar ward no 138</t>
  </si>
  <si>
    <t>P3329</t>
  </si>
  <si>
    <t>Special Development works at Wards (70 wards Rs.1.00 Cr. Each) - Ward Numbers as per Budget Book 2017-18 page no. 109</t>
  </si>
  <si>
    <t>138-18-000008</t>
  </si>
  <si>
    <t>Providing Borewell and water supply at Anjanappa garden in ward no 138</t>
  </si>
  <si>
    <t>138-18-000007</t>
  </si>
  <si>
    <t>Providing Borewell and water supply at Cheluvadipalya in ward no 138</t>
  </si>
  <si>
    <t>January</t>
  </si>
  <si>
    <t>138-17-000018</t>
  </si>
  <si>
    <t>Providing Consultancy services for Preparation DPR for the work comprehensive Development of roads with Asphalting Improvements to Drains and footpath shoulder drain in JJR Nagar sub division ward no 135 136 137 and 138 in Chamarajpet Division (2016-17 and 2017-18 GOK Works)</t>
  </si>
  <si>
    <t xml:space="preserve">M S VENKATESH </t>
  </si>
  <si>
    <t>P3158</t>
  </si>
  <si>
    <t>SIP Infrastructure Project works</t>
  </si>
  <si>
    <t>February</t>
  </si>
  <si>
    <t>138-14-000004</t>
  </si>
  <si>
    <t xml:space="preserve"> Pot Hole filling, Depo collection and Road Patch work for the year 2013-14 in Ward No. 138 </t>
  </si>
  <si>
    <t>CHANDEAIAH.</t>
  </si>
  <si>
    <t>March</t>
  </si>
  <si>
    <t>138-16-000022</t>
  </si>
  <si>
    <t>Improvement to drain and Cement Concrete road in CAR Quarters in ward no 138</t>
  </si>
  <si>
    <t>138-17-000027</t>
  </si>
  <si>
    <t>Providing railings to pedestrian drain at mysore road from sirsi circle to fire station in ward no 138</t>
  </si>
  <si>
    <t>P3173</t>
  </si>
  <si>
    <t>Special Development works in ward No.124, 185, 98, 188, 10, 14, 16, 30, 28, 37, 42, 130, 159, 65, 66, 73, 79, 80, 90, 95, 94, 89, 108, 111, 115, 97, 105, 131, 133, 119, 125, 137, 143, 124, 158, 138, 83, 166, 182, 129, 165, 161, 04, 88, 27, 31, 32, 52, 44, 26, 07, 183, 178, 187 (Rs.100 lakhs per ward)</t>
  </si>
  <si>
    <t>138-17-000028</t>
  </si>
  <si>
    <t xml:space="preserve">Providing railings to pedestrian drain at fire station to vinayaka theatre in ward no 138 </t>
  </si>
  <si>
    <t>138-17-000006</t>
  </si>
  <si>
    <t>Improvements to Anganawadi School in ward No. 138</t>
  </si>
  <si>
    <t>138-18-000010</t>
  </si>
  <si>
    <t>Providing Borewell and water supply at Pension lane in ward no 138</t>
  </si>
  <si>
    <t>138-18-000019</t>
  </si>
  <si>
    <t>Drilling borwell and providing water supply to CAR quaters and surrounding areas in ward no-138</t>
  </si>
  <si>
    <t>K Ranjith Kumar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</si>
</sst>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tabSelected="1" workbookViewId="0">
      <pane ySplit="1" topLeftCell="A2" activePane="bottomLeft" state="frozen"/>
      <selection activeCell="H1" sqref="H1"/>
      <selection pane="bottomLeft" activeCell="A2" sqref="A2:XFD3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676</v>
      </c>
      <c r="B2" s="9" t="s">
        <v>33</v>
      </c>
      <c r="C2" s="10">
        <v>43215</v>
      </c>
      <c r="D2" s="11">
        <v>138</v>
      </c>
      <c r="E2" s="12" t="s">
        <v>34</v>
      </c>
      <c r="F2" s="12" t="s">
        <v>35</v>
      </c>
      <c r="G2" s="12" t="s">
        <v>36</v>
      </c>
      <c r="H2" s="12" t="s">
        <v>37</v>
      </c>
      <c r="I2" s="11" t="s">
        <v>38</v>
      </c>
      <c r="J2" s="12" t="s">
        <v>39</v>
      </c>
      <c r="K2" s="13" t="s">
        <v>40</v>
      </c>
      <c r="L2" s="11" t="str">
        <f>"000262"</f>
        <v>000262</v>
      </c>
      <c r="M2" s="10">
        <v>43186</v>
      </c>
      <c r="N2" s="11" t="str">
        <f>"000092"</f>
        <v>000092</v>
      </c>
      <c r="O2" s="10">
        <v>43186</v>
      </c>
      <c r="P2" s="11" t="str">
        <f>"000254"</f>
        <v>000254</v>
      </c>
      <c r="Q2" s="10">
        <v>43187</v>
      </c>
      <c r="R2" s="11">
        <v>17</v>
      </c>
      <c r="S2" s="11" t="str">
        <f>"000611"</f>
        <v>000611</v>
      </c>
      <c r="T2" s="10">
        <v>43209</v>
      </c>
      <c r="U2" s="14">
        <v>1.5712200000000001</v>
      </c>
      <c r="V2" s="14">
        <v>0.12107</v>
      </c>
      <c r="W2" s="14">
        <v>1.4501500000000001</v>
      </c>
      <c r="X2" s="11">
        <v>24</v>
      </c>
      <c r="Y2" s="10">
        <v>43215</v>
      </c>
      <c r="Z2" s="11">
        <v>9731804566</v>
      </c>
      <c r="AA2" s="12" t="s">
        <v>41</v>
      </c>
      <c r="AB2" s="11" t="s">
        <v>42</v>
      </c>
      <c r="AC2" s="12" t="s">
        <v>43</v>
      </c>
      <c r="AD2" s="11" t="s">
        <v>44</v>
      </c>
      <c r="AE2" s="12" t="s">
        <v>45</v>
      </c>
      <c r="AF2" s="14">
        <v>1.5712199999999999E-2</v>
      </c>
      <c r="AG2" s="11" t="s">
        <v>46</v>
      </c>
    </row>
    <row r="3" spans="1:33" x14ac:dyDescent="0.2">
      <c r="A3" s="8">
        <v>2741</v>
      </c>
      <c r="B3" s="9" t="s">
        <v>47</v>
      </c>
      <c r="C3" s="10">
        <v>43278</v>
      </c>
      <c r="D3" s="11">
        <v>138</v>
      </c>
      <c r="E3" s="12" t="s">
        <v>34</v>
      </c>
      <c r="F3" s="12" t="s">
        <v>35</v>
      </c>
      <c r="G3" s="12" t="s">
        <v>36</v>
      </c>
      <c r="H3" s="12" t="s">
        <v>37</v>
      </c>
      <c r="I3" s="11" t="s">
        <v>48</v>
      </c>
      <c r="J3" s="12" t="s">
        <v>49</v>
      </c>
      <c r="K3" s="13" t="s">
        <v>50</v>
      </c>
      <c r="L3" s="11" t="str">
        <f>"000065"</f>
        <v>000065</v>
      </c>
      <c r="M3" s="10">
        <v>42772</v>
      </c>
      <c r="N3" s="11" t="str">
        <f>"000193"</f>
        <v>000193</v>
      </c>
      <c r="O3" s="10">
        <v>42667</v>
      </c>
      <c r="P3" s="11" t="str">
        <f>"000570"</f>
        <v>000570</v>
      </c>
      <c r="Q3" s="10">
        <v>42671</v>
      </c>
      <c r="R3" s="11">
        <v>16</v>
      </c>
      <c r="S3" s="11" t="str">
        <f>"002929"</f>
        <v>002929</v>
      </c>
      <c r="T3" s="10">
        <v>43276</v>
      </c>
      <c r="U3" s="14">
        <v>19.994230000000002</v>
      </c>
      <c r="V3" s="14">
        <v>2.5501800000000001</v>
      </c>
      <c r="W3" s="14">
        <v>17.444050000000001</v>
      </c>
      <c r="X3" s="11">
        <v>103</v>
      </c>
      <c r="Y3" s="10">
        <v>43278</v>
      </c>
      <c r="Z3" s="11">
        <v>9731804566</v>
      </c>
      <c r="AA3" s="12" t="s">
        <v>51</v>
      </c>
      <c r="AB3" s="11" t="s">
        <v>52</v>
      </c>
      <c r="AC3" s="12" t="s">
        <v>53</v>
      </c>
      <c r="AD3" s="11" t="s">
        <v>44</v>
      </c>
      <c r="AE3" s="12" t="s">
        <v>45</v>
      </c>
      <c r="AF3" s="14">
        <v>0.19994230000000002</v>
      </c>
      <c r="AG3" s="11" t="s">
        <v>46</v>
      </c>
    </row>
    <row r="4" spans="1:33" x14ac:dyDescent="0.2">
      <c r="A4" s="8">
        <v>2742</v>
      </c>
      <c r="B4" s="9" t="s">
        <v>47</v>
      </c>
      <c r="C4" s="10">
        <v>43278</v>
      </c>
      <c r="D4" s="11">
        <v>138</v>
      </c>
      <c r="E4" s="12" t="s">
        <v>34</v>
      </c>
      <c r="F4" s="12" t="s">
        <v>35</v>
      </c>
      <c r="G4" s="12" t="s">
        <v>36</v>
      </c>
      <c r="H4" s="12" t="s">
        <v>37</v>
      </c>
      <c r="I4" s="11" t="s">
        <v>54</v>
      </c>
      <c r="J4" s="12" t="s">
        <v>55</v>
      </c>
      <c r="K4" s="13" t="s">
        <v>50</v>
      </c>
      <c r="L4" s="11" t="str">
        <f>"000125"</f>
        <v>000125</v>
      </c>
      <c r="M4" s="10">
        <v>42542</v>
      </c>
      <c r="N4" s="11" t="str">
        <f>"000194"</f>
        <v>000194</v>
      </c>
      <c r="O4" s="10">
        <v>42667</v>
      </c>
      <c r="P4" s="11" t="str">
        <f>"000573"</f>
        <v>000573</v>
      </c>
      <c r="Q4" s="10">
        <v>42671</v>
      </c>
      <c r="R4" s="11">
        <v>16</v>
      </c>
      <c r="S4" s="11" t="str">
        <f>"002933"</f>
        <v>002933</v>
      </c>
      <c r="T4" s="10">
        <v>43276</v>
      </c>
      <c r="U4" s="14">
        <v>9.9947800000000004</v>
      </c>
      <c r="V4" s="14">
        <v>1.2499800000000001</v>
      </c>
      <c r="W4" s="14">
        <v>8.7447999999999997</v>
      </c>
      <c r="X4" s="11">
        <v>103</v>
      </c>
      <c r="Y4" s="10">
        <v>43278</v>
      </c>
      <c r="Z4" s="11">
        <v>9731804566</v>
      </c>
      <c r="AA4" s="12" t="s">
        <v>56</v>
      </c>
      <c r="AB4" s="11" t="s">
        <v>57</v>
      </c>
      <c r="AC4" s="12" t="s">
        <v>58</v>
      </c>
      <c r="AD4" s="11" t="s">
        <v>44</v>
      </c>
      <c r="AE4" s="12" t="s">
        <v>45</v>
      </c>
      <c r="AF4" s="14">
        <v>9.9947800000000003E-2</v>
      </c>
      <c r="AG4" s="11" t="s">
        <v>46</v>
      </c>
    </row>
    <row r="5" spans="1:33" x14ac:dyDescent="0.2">
      <c r="A5" s="8">
        <v>2743</v>
      </c>
      <c r="B5" s="9" t="s">
        <v>47</v>
      </c>
      <c r="C5" s="10">
        <v>43278</v>
      </c>
      <c r="D5" s="11">
        <v>138</v>
      </c>
      <c r="E5" s="12" t="s">
        <v>34</v>
      </c>
      <c r="F5" s="12" t="s">
        <v>35</v>
      </c>
      <c r="G5" s="12" t="s">
        <v>36</v>
      </c>
      <c r="H5" s="12" t="s">
        <v>37</v>
      </c>
      <c r="I5" s="11" t="s">
        <v>59</v>
      </c>
      <c r="J5" s="12" t="s">
        <v>60</v>
      </c>
      <c r="K5" s="13" t="s">
        <v>50</v>
      </c>
      <c r="L5" s="11" t="str">
        <f>"000026"</f>
        <v>000026</v>
      </c>
      <c r="M5" s="10">
        <v>42772</v>
      </c>
      <c r="N5" s="11" t="str">
        <f>"000195"</f>
        <v>000195</v>
      </c>
      <c r="O5" s="10">
        <v>42667</v>
      </c>
      <c r="P5" s="11" t="str">
        <f>"000572"</f>
        <v>000572</v>
      </c>
      <c r="Q5" s="10">
        <v>42671</v>
      </c>
      <c r="R5" s="11">
        <v>16</v>
      </c>
      <c r="S5" s="11" t="str">
        <f>"002985"</f>
        <v>002985</v>
      </c>
      <c r="T5" s="10">
        <v>43277</v>
      </c>
      <c r="U5" s="14">
        <v>19.993839999999999</v>
      </c>
      <c r="V5" s="14">
        <v>2.5898300000000001</v>
      </c>
      <c r="W5" s="14">
        <v>17.40401</v>
      </c>
      <c r="X5" s="11">
        <v>103</v>
      </c>
      <c r="Y5" s="10">
        <v>43278</v>
      </c>
      <c r="Z5" s="11">
        <v>9731804566</v>
      </c>
      <c r="AA5" s="12" t="s">
        <v>51</v>
      </c>
      <c r="AB5" s="11" t="s">
        <v>57</v>
      </c>
      <c r="AC5" s="12" t="s">
        <v>58</v>
      </c>
      <c r="AD5" s="11" t="s">
        <v>44</v>
      </c>
      <c r="AE5" s="12" t="s">
        <v>45</v>
      </c>
      <c r="AF5" s="14">
        <v>0.19993839999999999</v>
      </c>
      <c r="AG5" s="11" t="s">
        <v>46</v>
      </c>
    </row>
    <row r="6" spans="1:33" x14ac:dyDescent="0.2">
      <c r="A6" s="8">
        <v>2744</v>
      </c>
      <c r="B6" s="9" t="s">
        <v>47</v>
      </c>
      <c r="C6" s="10">
        <v>43278</v>
      </c>
      <c r="D6" s="11">
        <v>138</v>
      </c>
      <c r="E6" s="12" t="s">
        <v>34</v>
      </c>
      <c r="F6" s="12" t="s">
        <v>35</v>
      </c>
      <c r="G6" s="12" t="s">
        <v>36</v>
      </c>
      <c r="H6" s="12" t="s">
        <v>37</v>
      </c>
      <c r="I6" s="11" t="s">
        <v>61</v>
      </c>
      <c r="J6" s="12" t="s">
        <v>62</v>
      </c>
      <c r="K6" s="13" t="s">
        <v>50</v>
      </c>
      <c r="L6" s="11" t="str">
        <f>"000064"</f>
        <v>000064</v>
      </c>
      <c r="M6" s="10">
        <v>42772</v>
      </c>
      <c r="N6" s="11" t="str">
        <f>"000205"</f>
        <v>000205</v>
      </c>
      <c r="O6" s="10">
        <v>42667</v>
      </c>
      <c r="P6" s="11" t="str">
        <f>"000581"</f>
        <v>000581</v>
      </c>
      <c r="Q6" s="10">
        <v>42671</v>
      </c>
      <c r="R6" s="11">
        <v>16</v>
      </c>
      <c r="S6" s="11" t="str">
        <f>"002993"</f>
        <v>002993</v>
      </c>
      <c r="T6" s="10">
        <v>43277</v>
      </c>
      <c r="U6" s="14">
        <v>20.8401</v>
      </c>
      <c r="V6" s="14">
        <v>2.7829700000000002</v>
      </c>
      <c r="W6" s="14">
        <v>18.057130000000001</v>
      </c>
      <c r="X6" s="11">
        <v>103</v>
      </c>
      <c r="Y6" s="10">
        <v>43278</v>
      </c>
      <c r="Z6" s="11">
        <v>9731804566</v>
      </c>
      <c r="AA6" s="12" t="s">
        <v>63</v>
      </c>
      <c r="AB6" s="11" t="s">
        <v>52</v>
      </c>
      <c r="AC6" s="12" t="s">
        <v>53</v>
      </c>
      <c r="AD6" s="11" t="s">
        <v>44</v>
      </c>
      <c r="AE6" s="12" t="s">
        <v>45</v>
      </c>
      <c r="AF6" s="14">
        <v>0.208401</v>
      </c>
      <c r="AG6" s="11" t="s">
        <v>46</v>
      </c>
    </row>
    <row r="7" spans="1:33" x14ac:dyDescent="0.2">
      <c r="A7" s="8">
        <v>2745</v>
      </c>
      <c r="B7" s="9" t="s">
        <v>47</v>
      </c>
      <c r="C7" s="10">
        <v>43278</v>
      </c>
      <c r="D7" s="11">
        <v>138</v>
      </c>
      <c r="E7" s="12" t="s">
        <v>34</v>
      </c>
      <c r="F7" s="12" t="s">
        <v>35</v>
      </c>
      <c r="G7" s="12" t="s">
        <v>36</v>
      </c>
      <c r="H7" s="12" t="s">
        <v>37</v>
      </c>
      <c r="I7" s="11" t="s">
        <v>64</v>
      </c>
      <c r="J7" s="12" t="s">
        <v>65</v>
      </c>
      <c r="K7" s="13" t="s">
        <v>50</v>
      </c>
      <c r="L7" s="11" t="str">
        <f>"000066"</f>
        <v>000066</v>
      </c>
      <c r="M7" s="10">
        <v>42772</v>
      </c>
      <c r="N7" s="11" t="str">
        <f>"000206"</f>
        <v>000206</v>
      </c>
      <c r="O7" s="10">
        <v>42667</v>
      </c>
      <c r="P7" s="11" t="str">
        <f>"000582"</f>
        <v>000582</v>
      </c>
      <c r="Q7" s="10">
        <v>42671</v>
      </c>
      <c r="R7" s="11">
        <v>16</v>
      </c>
      <c r="S7" s="11" t="str">
        <f>"002994"</f>
        <v>002994</v>
      </c>
      <c r="T7" s="10">
        <v>43277</v>
      </c>
      <c r="U7" s="14">
        <v>19.994810000000001</v>
      </c>
      <c r="V7" s="14">
        <v>2.5626600000000002</v>
      </c>
      <c r="W7" s="14">
        <v>17.43215</v>
      </c>
      <c r="X7" s="11">
        <v>103</v>
      </c>
      <c r="Y7" s="10">
        <v>43278</v>
      </c>
      <c r="Z7" s="11">
        <v>9731804566</v>
      </c>
      <c r="AA7" s="12" t="s">
        <v>51</v>
      </c>
      <c r="AB7" s="11" t="s">
        <v>52</v>
      </c>
      <c r="AC7" s="12" t="s">
        <v>53</v>
      </c>
      <c r="AD7" s="11" t="s">
        <v>44</v>
      </c>
      <c r="AE7" s="12" t="s">
        <v>45</v>
      </c>
      <c r="AF7" s="14">
        <v>0.19994810000000002</v>
      </c>
      <c r="AG7" s="11" t="s">
        <v>46</v>
      </c>
    </row>
    <row r="8" spans="1:33" x14ac:dyDescent="0.2">
      <c r="A8" s="8">
        <v>2746</v>
      </c>
      <c r="B8" s="9" t="s">
        <v>47</v>
      </c>
      <c r="C8" s="10">
        <v>43278</v>
      </c>
      <c r="D8" s="11">
        <v>138</v>
      </c>
      <c r="E8" s="12" t="s">
        <v>34</v>
      </c>
      <c r="F8" s="12" t="s">
        <v>35</v>
      </c>
      <c r="G8" s="12" t="s">
        <v>36</v>
      </c>
      <c r="H8" s="12" t="s">
        <v>37</v>
      </c>
      <c r="I8" s="11" t="s">
        <v>66</v>
      </c>
      <c r="J8" s="12" t="s">
        <v>67</v>
      </c>
      <c r="K8" s="13" t="s">
        <v>68</v>
      </c>
      <c r="L8" s="11" t="str">
        <f>"000072"</f>
        <v>000072</v>
      </c>
      <c r="M8" s="10">
        <v>42772</v>
      </c>
      <c r="N8" s="11" t="str">
        <f>"000204"</f>
        <v>000204</v>
      </c>
      <c r="O8" s="10">
        <v>42667</v>
      </c>
      <c r="P8" s="11" t="str">
        <f>"000583"</f>
        <v>000583</v>
      </c>
      <c r="Q8" s="10">
        <v>42671</v>
      </c>
      <c r="R8" s="11">
        <v>16</v>
      </c>
      <c r="S8" s="11" t="str">
        <f>"002995"</f>
        <v>002995</v>
      </c>
      <c r="T8" s="10">
        <v>43277</v>
      </c>
      <c r="U8" s="14">
        <v>20.797440000000002</v>
      </c>
      <c r="V8" s="14">
        <v>2.7790699999999999</v>
      </c>
      <c r="W8" s="14">
        <v>18.018370000000001</v>
      </c>
      <c r="X8" s="11">
        <v>103</v>
      </c>
      <c r="Y8" s="10">
        <v>43278</v>
      </c>
      <c r="Z8" s="11">
        <v>9731804566</v>
      </c>
      <c r="AA8" s="12" t="s">
        <v>63</v>
      </c>
      <c r="AB8" s="11" t="s">
        <v>52</v>
      </c>
      <c r="AC8" s="12" t="s">
        <v>53</v>
      </c>
      <c r="AD8" s="11" t="s">
        <v>44</v>
      </c>
      <c r="AE8" s="12" t="s">
        <v>45</v>
      </c>
      <c r="AF8" s="14">
        <v>0.2079744</v>
      </c>
      <c r="AG8" s="11" t="s">
        <v>46</v>
      </c>
    </row>
    <row r="9" spans="1:33" x14ac:dyDescent="0.2">
      <c r="A9" s="8">
        <v>2899</v>
      </c>
      <c r="B9" s="9" t="s">
        <v>69</v>
      </c>
      <c r="C9" s="10">
        <v>43283</v>
      </c>
      <c r="D9" s="11">
        <v>138</v>
      </c>
      <c r="E9" s="12" t="s">
        <v>34</v>
      </c>
      <c r="F9" s="12" t="s">
        <v>35</v>
      </c>
      <c r="G9" s="12" t="s">
        <v>36</v>
      </c>
      <c r="H9" s="12" t="s">
        <v>37</v>
      </c>
      <c r="I9" s="11" t="s">
        <v>70</v>
      </c>
      <c r="J9" s="12" t="s">
        <v>71</v>
      </c>
      <c r="K9" s="13" t="s">
        <v>72</v>
      </c>
      <c r="L9" s="11" t="str">
        <f>"000339"</f>
        <v>000339</v>
      </c>
      <c r="M9" s="10">
        <v>42895</v>
      </c>
      <c r="N9" s="11" t="str">
        <f>"000175"</f>
        <v>000175</v>
      </c>
      <c r="O9" s="10">
        <v>42915</v>
      </c>
      <c r="P9" s="11" t="str">
        <f>"000238"</f>
        <v>000238</v>
      </c>
      <c r="Q9" s="10">
        <v>42916</v>
      </c>
      <c r="R9" s="11">
        <v>17</v>
      </c>
      <c r="S9" s="11" t="str">
        <f>"003091"</f>
        <v>003091</v>
      </c>
      <c r="T9" s="10">
        <v>43280</v>
      </c>
      <c r="U9" s="14">
        <v>15.731870000000001</v>
      </c>
      <c r="V9" s="14">
        <v>2.0293999999999999</v>
      </c>
      <c r="W9" s="14">
        <v>13.70247</v>
      </c>
      <c r="X9" s="11">
        <v>107</v>
      </c>
      <c r="Y9" s="10">
        <v>43283</v>
      </c>
      <c r="Z9" s="11">
        <v>9731804566</v>
      </c>
      <c r="AA9" s="12" t="s">
        <v>41</v>
      </c>
      <c r="AB9" s="11" t="s">
        <v>73</v>
      </c>
      <c r="AC9" s="12" t="s">
        <v>74</v>
      </c>
      <c r="AD9" s="11" t="s">
        <v>44</v>
      </c>
      <c r="AE9" s="12" t="s">
        <v>45</v>
      </c>
      <c r="AF9" s="14">
        <v>0.15731870000000001</v>
      </c>
      <c r="AG9" s="11" t="s">
        <v>46</v>
      </c>
    </row>
    <row r="10" spans="1:33" x14ac:dyDescent="0.2">
      <c r="A10" s="8">
        <v>2900</v>
      </c>
      <c r="B10" s="9" t="s">
        <v>69</v>
      </c>
      <c r="C10" s="10">
        <v>43283</v>
      </c>
      <c r="D10" s="11">
        <v>138</v>
      </c>
      <c r="E10" s="12" t="s">
        <v>34</v>
      </c>
      <c r="F10" s="12" t="s">
        <v>35</v>
      </c>
      <c r="G10" s="12" t="s">
        <v>36</v>
      </c>
      <c r="H10" s="12" t="s">
        <v>37</v>
      </c>
      <c r="I10" s="11" t="s">
        <v>75</v>
      </c>
      <c r="J10" s="12" t="s">
        <v>76</v>
      </c>
      <c r="K10" s="13" t="s">
        <v>77</v>
      </c>
      <c r="L10" s="11" t="str">
        <f>"000208"</f>
        <v>000208</v>
      </c>
      <c r="M10" s="10">
        <v>42826</v>
      </c>
      <c r="N10" s="11" t="str">
        <f>"000173"</f>
        <v>000173</v>
      </c>
      <c r="O10" s="10">
        <v>42915</v>
      </c>
      <c r="P10" s="11" t="str">
        <f>"000241"</f>
        <v>000241</v>
      </c>
      <c r="Q10" s="10">
        <v>42916</v>
      </c>
      <c r="R10" s="11">
        <v>17</v>
      </c>
      <c r="S10" s="11" t="str">
        <f>"003092"</f>
        <v>003092</v>
      </c>
      <c r="T10" s="10">
        <v>43280</v>
      </c>
      <c r="U10" s="14">
        <v>10.48184</v>
      </c>
      <c r="V10" s="14">
        <v>1.40455</v>
      </c>
      <c r="W10" s="14">
        <v>9.0772899999999996</v>
      </c>
      <c r="X10" s="11">
        <v>107</v>
      </c>
      <c r="Y10" s="10">
        <v>43283</v>
      </c>
      <c r="Z10" s="11">
        <v>9731804566</v>
      </c>
      <c r="AA10" s="12" t="s">
        <v>78</v>
      </c>
      <c r="AB10" s="11" t="s">
        <v>57</v>
      </c>
      <c r="AC10" s="12" t="s">
        <v>58</v>
      </c>
      <c r="AD10" s="11" t="s">
        <v>44</v>
      </c>
      <c r="AE10" s="12" t="s">
        <v>45</v>
      </c>
      <c r="AF10" s="14">
        <v>0.10481840000000001</v>
      </c>
      <c r="AG10" s="11" t="s">
        <v>46</v>
      </c>
    </row>
    <row r="11" spans="1:33" x14ac:dyDescent="0.2">
      <c r="A11" s="8">
        <v>2901</v>
      </c>
      <c r="B11" s="9" t="s">
        <v>69</v>
      </c>
      <c r="C11" s="10">
        <v>43283</v>
      </c>
      <c r="D11" s="11">
        <v>138</v>
      </c>
      <c r="E11" s="12" t="s">
        <v>34</v>
      </c>
      <c r="F11" s="12" t="s">
        <v>35</v>
      </c>
      <c r="G11" s="12" t="s">
        <v>36</v>
      </c>
      <c r="H11" s="12" t="s">
        <v>37</v>
      </c>
      <c r="I11" s="11" t="s">
        <v>79</v>
      </c>
      <c r="J11" s="12" t="s">
        <v>80</v>
      </c>
      <c r="K11" s="13" t="s">
        <v>40</v>
      </c>
      <c r="L11" s="11" t="str">
        <f>"000205"</f>
        <v>000205</v>
      </c>
      <c r="M11" s="10">
        <v>42807</v>
      </c>
      <c r="N11" s="11" t="str">
        <f>"000256"</f>
        <v>000256</v>
      </c>
      <c r="O11" s="10">
        <v>42916</v>
      </c>
      <c r="P11" s="11" t="str">
        <f>"000242"</f>
        <v>000242</v>
      </c>
      <c r="Q11" s="10">
        <v>42916</v>
      </c>
      <c r="R11" s="11">
        <v>17</v>
      </c>
      <c r="S11" s="11" t="str">
        <f>"003093"</f>
        <v>003093</v>
      </c>
      <c r="T11" s="10">
        <v>43280</v>
      </c>
      <c r="U11" s="14">
        <v>20.960940000000001</v>
      </c>
      <c r="V11" s="14">
        <v>2.8087599999999999</v>
      </c>
      <c r="W11" s="14">
        <v>18.152180000000001</v>
      </c>
      <c r="X11" s="11">
        <v>107</v>
      </c>
      <c r="Y11" s="10">
        <v>43283</v>
      </c>
      <c r="Z11" s="11">
        <v>9731804566</v>
      </c>
      <c r="AA11" s="12" t="s">
        <v>56</v>
      </c>
      <c r="AB11" s="11" t="s">
        <v>57</v>
      </c>
      <c r="AC11" s="12" t="s">
        <v>58</v>
      </c>
      <c r="AD11" s="11" t="s">
        <v>44</v>
      </c>
      <c r="AE11" s="12" t="s">
        <v>45</v>
      </c>
      <c r="AF11" s="14">
        <v>0.2096094</v>
      </c>
      <c r="AG11" s="11" t="s">
        <v>46</v>
      </c>
    </row>
    <row r="12" spans="1:33" x14ac:dyDescent="0.2">
      <c r="A12" s="8">
        <v>2902</v>
      </c>
      <c r="B12" s="9" t="s">
        <v>69</v>
      </c>
      <c r="C12" s="10">
        <v>43283</v>
      </c>
      <c r="D12" s="11">
        <v>138</v>
      </c>
      <c r="E12" s="12" t="s">
        <v>34</v>
      </c>
      <c r="F12" s="12" t="s">
        <v>35</v>
      </c>
      <c r="G12" s="12" t="s">
        <v>36</v>
      </c>
      <c r="H12" s="12" t="s">
        <v>37</v>
      </c>
      <c r="I12" s="11" t="s">
        <v>81</v>
      </c>
      <c r="J12" s="12" t="s">
        <v>82</v>
      </c>
      <c r="K12" s="13" t="s">
        <v>72</v>
      </c>
      <c r="L12" s="11" t="str">
        <f>"000267"</f>
        <v>000267</v>
      </c>
      <c r="M12" s="10">
        <v>42641</v>
      </c>
      <c r="N12" s="11" t="str">
        <f>"000176"</f>
        <v>000176</v>
      </c>
      <c r="O12" s="10">
        <v>42915</v>
      </c>
      <c r="P12" s="11" t="str">
        <f>"000246"</f>
        <v>000246</v>
      </c>
      <c r="Q12" s="10">
        <v>42916</v>
      </c>
      <c r="R12" s="11">
        <v>16</v>
      </c>
      <c r="S12" s="11" t="str">
        <f>"003094"</f>
        <v>003094</v>
      </c>
      <c r="T12" s="10">
        <v>43280</v>
      </c>
      <c r="U12" s="14">
        <v>10.47532</v>
      </c>
      <c r="V12" s="14">
        <v>1.4036900000000001</v>
      </c>
      <c r="W12" s="14">
        <v>9.0716300000000007</v>
      </c>
      <c r="X12" s="11">
        <v>107</v>
      </c>
      <c r="Y12" s="10">
        <v>43283</v>
      </c>
      <c r="Z12" s="11">
        <v>9731804566</v>
      </c>
      <c r="AA12" s="12" t="s">
        <v>41</v>
      </c>
      <c r="AB12" s="11" t="s">
        <v>83</v>
      </c>
      <c r="AC12" s="12" t="s">
        <v>84</v>
      </c>
      <c r="AD12" s="11" t="s">
        <v>44</v>
      </c>
      <c r="AE12" s="12" t="s">
        <v>45</v>
      </c>
      <c r="AF12" s="14">
        <v>0.1047532</v>
      </c>
      <c r="AG12" s="11" t="s">
        <v>46</v>
      </c>
    </row>
    <row r="13" spans="1:33" x14ac:dyDescent="0.2">
      <c r="A13" s="8">
        <v>3861</v>
      </c>
      <c r="B13" s="9" t="s">
        <v>69</v>
      </c>
      <c r="C13" s="10">
        <v>43304</v>
      </c>
      <c r="D13" s="11">
        <v>138</v>
      </c>
      <c r="E13" s="12" t="s">
        <v>34</v>
      </c>
      <c r="F13" s="12" t="s">
        <v>35</v>
      </c>
      <c r="G13" s="12" t="s">
        <v>36</v>
      </c>
      <c r="H13" s="12" t="s">
        <v>37</v>
      </c>
      <c r="I13" s="11" t="s">
        <v>85</v>
      </c>
      <c r="J13" s="12" t="s">
        <v>86</v>
      </c>
      <c r="K13" s="13" t="s">
        <v>68</v>
      </c>
      <c r="L13" s="11" t="str">
        <f>"000122"</f>
        <v>000122</v>
      </c>
      <c r="M13" s="10">
        <v>43250</v>
      </c>
      <c r="N13" s="11" t="str">
        <f>"000056"</f>
        <v>000056</v>
      </c>
      <c r="O13" s="10">
        <v>43250</v>
      </c>
      <c r="P13" s="11" t="str">
        <f>"000124"</f>
        <v>000124</v>
      </c>
      <c r="Q13" s="10">
        <v>43250</v>
      </c>
      <c r="R13" s="11">
        <v>17</v>
      </c>
      <c r="S13" s="11" t="str">
        <f>"004000"</f>
        <v>004000</v>
      </c>
      <c r="T13" s="10">
        <v>43300</v>
      </c>
      <c r="U13" s="14">
        <v>8.7854899999999994</v>
      </c>
      <c r="V13" s="14">
        <v>0.68767999999999996</v>
      </c>
      <c r="W13" s="14">
        <v>8.0978100000000008</v>
      </c>
      <c r="X13" s="11">
        <v>137</v>
      </c>
      <c r="Y13" s="10">
        <v>43304</v>
      </c>
      <c r="Z13" s="11">
        <v>9731804566</v>
      </c>
      <c r="AA13" s="12" t="s">
        <v>56</v>
      </c>
      <c r="AB13" s="11" t="s">
        <v>42</v>
      </c>
      <c r="AC13" s="12" t="s">
        <v>43</v>
      </c>
      <c r="AD13" s="11" t="s">
        <v>44</v>
      </c>
      <c r="AE13" s="12" t="s">
        <v>45</v>
      </c>
      <c r="AF13" s="14">
        <v>8.78549E-2</v>
      </c>
      <c r="AG13" s="11" t="s">
        <v>87</v>
      </c>
    </row>
    <row r="14" spans="1:33" x14ac:dyDescent="0.2">
      <c r="A14" s="8">
        <v>4149</v>
      </c>
      <c r="B14" s="9" t="s">
        <v>69</v>
      </c>
      <c r="C14" s="10">
        <v>43308</v>
      </c>
      <c r="D14" s="11">
        <v>138</v>
      </c>
      <c r="E14" s="12" t="s">
        <v>34</v>
      </c>
      <c r="F14" s="12" t="s">
        <v>35</v>
      </c>
      <c r="G14" s="12" t="s">
        <v>36</v>
      </c>
      <c r="H14" s="12" t="s">
        <v>37</v>
      </c>
      <c r="I14" s="11" t="s">
        <v>88</v>
      </c>
      <c r="J14" s="12" t="s">
        <v>89</v>
      </c>
      <c r="K14" s="13" t="s">
        <v>68</v>
      </c>
      <c r="L14" s="11" t="str">
        <f>"000085"</f>
        <v>000085</v>
      </c>
      <c r="M14" s="10">
        <v>43101</v>
      </c>
      <c r="N14" s="11" t="str">
        <f>"000050"</f>
        <v>000050</v>
      </c>
      <c r="O14" s="10">
        <v>43101</v>
      </c>
      <c r="P14" s="11" t="str">
        <f>"000083"</f>
        <v>000083</v>
      </c>
      <c r="Q14" s="10">
        <v>43102</v>
      </c>
      <c r="R14" s="11">
        <v>17</v>
      </c>
      <c r="S14" s="11" t="str">
        <f>"009027"</f>
        <v>009027</v>
      </c>
      <c r="T14" s="10">
        <v>43117</v>
      </c>
      <c r="U14" s="14">
        <v>4.3749099999999999</v>
      </c>
      <c r="V14" s="14">
        <v>0.35810999999999998</v>
      </c>
      <c r="W14" s="14">
        <v>4.0167999999999999</v>
      </c>
      <c r="X14" s="11">
        <v>145</v>
      </c>
      <c r="Y14" s="10">
        <v>43308</v>
      </c>
      <c r="Z14" s="11">
        <v>9731804566</v>
      </c>
      <c r="AA14" s="12" t="s">
        <v>56</v>
      </c>
      <c r="AB14" s="11" t="s">
        <v>90</v>
      </c>
      <c r="AC14" s="12" t="s">
        <v>91</v>
      </c>
      <c r="AD14" s="11" t="s">
        <v>44</v>
      </c>
      <c r="AE14" s="12" t="s">
        <v>45</v>
      </c>
      <c r="AF14" s="14">
        <v>4.3749099999999999E-2</v>
      </c>
      <c r="AG14" s="11" t="s">
        <v>46</v>
      </c>
    </row>
    <row r="15" spans="1:33" x14ac:dyDescent="0.2">
      <c r="A15" s="8">
        <v>4688</v>
      </c>
      <c r="B15" s="9" t="s">
        <v>92</v>
      </c>
      <c r="C15" s="10">
        <v>43325</v>
      </c>
      <c r="D15" s="11">
        <v>138</v>
      </c>
      <c r="E15" s="12" t="s">
        <v>34</v>
      </c>
      <c r="F15" s="12" t="s">
        <v>35</v>
      </c>
      <c r="G15" s="12" t="s">
        <v>36</v>
      </c>
      <c r="H15" s="12" t="s">
        <v>37</v>
      </c>
      <c r="I15" s="11" t="s">
        <v>93</v>
      </c>
      <c r="J15" s="12" t="s">
        <v>94</v>
      </c>
      <c r="K15" s="13" t="s">
        <v>40</v>
      </c>
      <c r="L15" s="11" t="str">
        <f>"000129"</f>
        <v>000129</v>
      </c>
      <c r="M15" s="10">
        <v>43280</v>
      </c>
      <c r="N15" s="11" t="str">
        <f>"000061"</f>
        <v>000061</v>
      </c>
      <c r="O15" s="10">
        <v>43280</v>
      </c>
      <c r="P15" s="11" t="str">
        <f>"000132"</f>
        <v>000132</v>
      </c>
      <c r="Q15" s="10">
        <v>43281</v>
      </c>
      <c r="R15" s="11">
        <v>17</v>
      </c>
      <c r="S15" s="11" t="str">
        <f>"004278"</f>
        <v>004278</v>
      </c>
      <c r="T15" s="10">
        <v>43306</v>
      </c>
      <c r="U15" s="14">
        <v>12.234730000000001</v>
      </c>
      <c r="V15" s="14">
        <v>1.3552299999999999</v>
      </c>
      <c r="W15" s="14">
        <v>10.8795</v>
      </c>
      <c r="X15" s="11">
        <v>166</v>
      </c>
      <c r="Y15" s="10">
        <v>43325</v>
      </c>
      <c r="Z15" s="11">
        <v>9731804566</v>
      </c>
      <c r="AA15" s="12" t="s">
        <v>41</v>
      </c>
      <c r="AB15" s="11" t="s">
        <v>95</v>
      </c>
      <c r="AC15" s="12" t="s">
        <v>96</v>
      </c>
      <c r="AD15" s="11" t="s">
        <v>44</v>
      </c>
      <c r="AE15" s="12" t="s">
        <v>45</v>
      </c>
      <c r="AF15" s="14">
        <v>0.12234730000000001</v>
      </c>
      <c r="AG15" s="11" t="s">
        <v>87</v>
      </c>
    </row>
    <row r="16" spans="1:33" x14ac:dyDescent="0.2">
      <c r="A16" s="8">
        <v>5484</v>
      </c>
      <c r="B16" s="9" t="s">
        <v>97</v>
      </c>
      <c r="C16" s="10">
        <v>43357</v>
      </c>
      <c r="D16" s="11">
        <v>138</v>
      </c>
      <c r="E16" s="12" t="s">
        <v>34</v>
      </c>
      <c r="F16" s="12" t="s">
        <v>35</v>
      </c>
      <c r="G16" s="12" t="s">
        <v>36</v>
      </c>
      <c r="H16" s="12" t="s">
        <v>37</v>
      </c>
      <c r="I16" s="11" t="s">
        <v>98</v>
      </c>
      <c r="J16" s="12" t="s">
        <v>99</v>
      </c>
      <c r="K16" s="13" t="s">
        <v>68</v>
      </c>
      <c r="L16" s="11" t="str">
        <f>"000108"</f>
        <v>000108</v>
      </c>
      <c r="M16" s="10">
        <v>42908</v>
      </c>
      <c r="N16" s="11" t="str">
        <f>"000023"</f>
        <v>000023</v>
      </c>
      <c r="O16" s="10">
        <v>42977</v>
      </c>
      <c r="P16" s="11" t="str">
        <f>"000018"</f>
        <v>000018</v>
      </c>
      <c r="Q16" s="10">
        <v>42977</v>
      </c>
      <c r="R16" s="11">
        <v>16</v>
      </c>
      <c r="S16" s="11" t="str">
        <f>"005739"</f>
        <v>005739</v>
      </c>
      <c r="T16" s="10">
        <v>43354</v>
      </c>
      <c r="U16" s="14">
        <v>19.63176</v>
      </c>
      <c r="V16" s="14">
        <v>2.5819000000000001</v>
      </c>
      <c r="W16" s="14">
        <v>17.049859999999999</v>
      </c>
      <c r="X16" s="11">
        <v>203</v>
      </c>
      <c r="Y16" s="10">
        <v>43357</v>
      </c>
      <c r="Z16" s="11">
        <v>9900333498</v>
      </c>
      <c r="AA16" s="12" t="s">
        <v>100</v>
      </c>
      <c r="AB16" s="11" t="s">
        <v>83</v>
      </c>
      <c r="AC16" s="12" t="s">
        <v>84</v>
      </c>
      <c r="AD16" s="11" t="s">
        <v>101</v>
      </c>
      <c r="AE16" s="12" t="s">
        <v>102</v>
      </c>
      <c r="AF16" s="14">
        <f t="shared" ref="AF16:AF38" si="0">U16/100</f>
        <v>0.19631760000000001</v>
      </c>
      <c r="AG16" s="11" t="s">
        <v>46</v>
      </c>
    </row>
    <row r="17" spans="1:33" x14ac:dyDescent="0.2">
      <c r="A17" s="8">
        <v>5714</v>
      </c>
      <c r="B17" s="9" t="s">
        <v>97</v>
      </c>
      <c r="C17" s="10">
        <v>43370</v>
      </c>
      <c r="D17" s="11">
        <v>138</v>
      </c>
      <c r="E17" s="12" t="s">
        <v>34</v>
      </c>
      <c r="F17" s="12" t="s">
        <v>35</v>
      </c>
      <c r="G17" s="12" t="s">
        <v>36</v>
      </c>
      <c r="H17" s="12" t="s">
        <v>37</v>
      </c>
      <c r="I17" s="11" t="s">
        <v>103</v>
      </c>
      <c r="J17" s="12" t="s">
        <v>104</v>
      </c>
      <c r="K17" s="13" t="s">
        <v>40</v>
      </c>
      <c r="L17" s="11" t="str">
        <f>"000032"</f>
        <v>000032</v>
      </c>
      <c r="M17" s="10">
        <v>43071</v>
      </c>
      <c r="N17" s="11" t="str">
        <f>"000007"</f>
        <v>000007</v>
      </c>
      <c r="O17" s="10">
        <v>43072</v>
      </c>
      <c r="P17" s="11" t="str">
        <f>"000048"</f>
        <v>000048</v>
      </c>
      <c r="Q17" s="10">
        <v>43080</v>
      </c>
      <c r="R17" s="11">
        <v>17</v>
      </c>
      <c r="S17" s="11" t="str">
        <f>"005931"</f>
        <v>005931</v>
      </c>
      <c r="T17" s="10">
        <v>43368</v>
      </c>
      <c r="U17" s="14">
        <v>44.043619999999997</v>
      </c>
      <c r="V17" s="14">
        <v>5.0209400000000004</v>
      </c>
      <c r="W17" s="14">
        <v>39.022680000000001</v>
      </c>
      <c r="X17" s="11">
        <v>218</v>
      </c>
      <c r="Y17" s="10">
        <v>43370</v>
      </c>
      <c r="Z17" s="11">
        <v>9731804566</v>
      </c>
      <c r="AA17" s="12" t="s">
        <v>105</v>
      </c>
      <c r="AB17" s="11" t="s">
        <v>106</v>
      </c>
      <c r="AC17" s="12" t="s">
        <v>107</v>
      </c>
      <c r="AD17" s="11" t="s">
        <v>44</v>
      </c>
      <c r="AE17" s="12" t="s">
        <v>45</v>
      </c>
      <c r="AF17" s="14">
        <f t="shared" si="0"/>
        <v>0.44043619999999994</v>
      </c>
      <c r="AG17" s="11" t="s">
        <v>46</v>
      </c>
    </row>
    <row r="18" spans="1:33" x14ac:dyDescent="0.2">
      <c r="A18" s="8">
        <v>5715</v>
      </c>
      <c r="B18" s="9" t="s">
        <v>97</v>
      </c>
      <c r="C18" s="10">
        <v>43370</v>
      </c>
      <c r="D18" s="11">
        <v>138</v>
      </c>
      <c r="E18" s="12" t="s">
        <v>34</v>
      </c>
      <c r="F18" s="12" t="s">
        <v>35</v>
      </c>
      <c r="G18" s="12" t="s">
        <v>36</v>
      </c>
      <c r="H18" s="12" t="s">
        <v>37</v>
      </c>
      <c r="I18" s="11" t="s">
        <v>108</v>
      </c>
      <c r="J18" s="12" t="s">
        <v>109</v>
      </c>
      <c r="K18" s="13" t="s">
        <v>77</v>
      </c>
      <c r="L18" s="11" t="str">
        <f>"000033"</f>
        <v>000033</v>
      </c>
      <c r="M18" s="10">
        <v>43071</v>
      </c>
      <c r="N18" s="11" t="str">
        <f>"000008"</f>
        <v>000008</v>
      </c>
      <c r="O18" s="10">
        <v>43072</v>
      </c>
      <c r="P18" s="11" t="str">
        <f>"000049"</f>
        <v>000049</v>
      </c>
      <c r="Q18" s="10">
        <v>43080</v>
      </c>
      <c r="R18" s="11">
        <v>17</v>
      </c>
      <c r="S18" s="11" t="str">
        <f>"005932"</f>
        <v>005932</v>
      </c>
      <c r="T18" s="10">
        <v>43368</v>
      </c>
      <c r="U18" s="14">
        <v>10.38466</v>
      </c>
      <c r="V18" s="14">
        <v>1.1046800000000001</v>
      </c>
      <c r="W18" s="14">
        <v>9.2799800000000001</v>
      </c>
      <c r="X18" s="11">
        <v>218</v>
      </c>
      <c r="Y18" s="10">
        <v>43370</v>
      </c>
      <c r="Z18" s="11">
        <v>9731804566</v>
      </c>
      <c r="AA18" s="12" t="s">
        <v>105</v>
      </c>
      <c r="AB18" s="11" t="s">
        <v>57</v>
      </c>
      <c r="AC18" s="12" t="s">
        <v>58</v>
      </c>
      <c r="AD18" s="11" t="s">
        <v>44</v>
      </c>
      <c r="AE18" s="12" t="s">
        <v>45</v>
      </c>
      <c r="AF18" s="14">
        <f t="shared" si="0"/>
        <v>0.1038466</v>
      </c>
      <c r="AG18" s="11" t="s">
        <v>46</v>
      </c>
    </row>
    <row r="19" spans="1:33" x14ac:dyDescent="0.2">
      <c r="A19" s="8">
        <v>5716</v>
      </c>
      <c r="B19" s="9" t="s">
        <v>97</v>
      </c>
      <c r="C19" s="10">
        <v>43370</v>
      </c>
      <c r="D19" s="11">
        <v>138</v>
      </c>
      <c r="E19" s="12" t="s">
        <v>34</v>
      </c>
      <c r="F19" s="12" t="s">
        <v>35</v>
      </c>
      <c r="G19" s="12" t="s">
        <v>36</v>
      </c>
      <c r="H19" s="12" t="s">
        <v>37</v>
      </c>
      <c r="I19" s="11" t="s">
        <v>110</v>
      </c>
      <c r="J19" s="12" t="s">
        <v>111</v>
      </c>
      <c r="K19" s="13" t="s">
        <v>112</v>
      </c>
      <c r="L19" s="11" t="str">
        <f>"000034"</f>
        <v>000034</v>
      </c>
      <c r="M19" s="10">
        <v>43071</v>
      </c>
      <c r="N19" s="11" t="str">
        <f>"000009"</f>
        <v>000009</v>
      </c>
      <c r="O19" s="10">
        <v>43072</v>
      </c>
      <c r="P19" s="11" t="str">
        <f>"000050"</f>
        <v>000050</v>
      </c>
      <c r="Q19" s="10">
        <v>43080</v>
      </c>
      <c r="R19" s="11">
        <v>17</v>
      </c>
      <c r="S19" s="11" t="str">
        <f>"005933"</f>
        <v>005933</v>
      </c>
      <c r="T19" s="10">
        <v>43368</v>
      </c>
      <c r="U19" s="14">
        <v>5.2405099999999996</v>
      </c>
      <c r="V19" s="14">
        <v>0.53846000000000005</v>
      </c>
      <c r="W19" s="14">
        <v>4.7020499999999998</v>
      </c>
      <c r="X19" s="11">
        <v>218</v>
      </c>
      <c r="Y19" s="10">
        <v>43370</v>
      </c>
      <c r="Z19" s="11">
        <v>9731804566</v>
      </c>
      <c r="AA19" s="12" t="s">
        <v>105</v>
      </c>
      <c r="AB19" s="11" t="s">
        <v>57</v>
      </c>
      <c r="AC19" s="12" t="s">
        <v>58</v>
      </c>
      <c r="AD19" s="11" t="s">
        <v>44</v>
      </c>
      <c r="AE19" s="12" t="s">
        <v>45</v>
      </c>
      <c r="AF19" s="14">
        <f t="shared" si="0"/>
        <v>5.2405099999999996E-2</v>
      </c>
      <c r="AG19" s="11" t="s">
        <v>46</v>
      </c>
    </row>
    <row r="20" spans="1:33" x14ac:dyDescent="0.2">
      <c r="A20" s="8">
        <v>6766</v>
      </c>
      <c r="B20" s="9" t="s">
        <v>113</v>
      </c>
      <c r="C20" s="10">
        <v>43390</v>
      </c>
      <c r="D20" s="11">
        <v>138</v>
      </c>
      <c r="E20" s="12" t="s">
        <v>34</v>
      </c>
      <c r="F20" s="12" t="s">
        <v>35</v>
      </c>
      <c r="G20" s="12" t="s">
        <v>36</v>
      </c>
      <c r="H20" s="12" t="s">
        <v>37</v>
      </c>
      <c r="I20" s="11" t="s">
        <v>114</v>
      </c>
      <c r="J20" s="12" t="s">
        <v>115</v>
      </c>
      <c r="K20" s="13" t="s">
        <v>116</v>
      </c>
      <c r="L20" s="11" t="str">
        <f>"000169"</f>
        <v>000169</v>
      </c>
      <c r="M20" s="10">
        <v>43340</v>
      </c>
      <c r="N20" s="11" t="str">
        <f>"000090"</f>
        <v>000090</v>
      </c>
      <c r="O20" s="10">
        <v>43341</v>
      </c>
      <c r="P20" s="11" t="str">
        <f>"000170"</f>
        <v>000170</v>
      </c>
      <c r="Q20" s="10">
        <v>43341</v>
      </c>
      <c r="R20" s="11">
        <v>17</v>
      </c>
      <c r="S20" s="11" t="str">
        <f>"006781"</f>
        <v>006781</v>
      </c>
      <c r="T20" s="10">
        <v>43389</v>
      </c>
      <c r="U20" s="14">
        <v>10.49061</v>
      </c>
      <c r="V20" s="14">
        <v>0.84726999999999997</v>
      </c>
      <c r="W20" s="14">
        <v>9.6433400000000002</v>
      </c>
      <c r="X20" s="11">
        <v>245</v>
      </c>
      <c r="Y20" s="10">
        <v>43390</v>
      </c>
      <c r="Z20" s="11">
        <v>9731804566</v>
      </c>
      <c r="AA20" s="12" t="s">
        <v>117</v>
      </c>
      <c r="AB20" s="11" t="s">
        <v>42</v>
      </c>
      <c r="AC20" s="12" t="s">
        <v>43</v>
      </c>
      <c r="AD20" s="11" t="s">
        <v>44</v>
      </c>
      <c r="AE20" s="12" t="s">
        <v>45</v>
      </c>
      <c r="AF20" s="14">
        <f t="shared" si="0"/>
        <v>0.1049061</v>
      </c>
      <c r="AG20" s="11" t="s">
        <v>87</v>
      </c>
    </row>
    <row r="21" spans="1:33" x14ac:dyDescent="0.2">
      <c r="A21" s="8">
        <v>6767</v>
      </c>
      <c r="B21" s="9" t="s">
        <v>113</v>
      </c>
      <c r="C21" s="10">
        <v>43390</v>
      </c>
      <c r="D21" s="11">
        <v>138</v>
      </c>
      <c r="E21" s="12" t="s">
        <v>34</v>
      </c>
      <c r="F21" s="12" t="s">
        <v>35</v>
      </c>
      <c r="G21" s="12" t="s">
        <v>36</v>
      </c>
      <c r="H21" s="12" t="s">
        <v>37</v>
      </c>
      <c r="I21" s="11" t="s">
        <v>85</v>
      </c>
      <c r="J21" s="12" t="s">
        <v>86</v>
      </c>
      <c r="K21" s="13" t="s">
        <v>68</v>
      </c>
      <c r="L21" s="11" t="str">
        <f>"000122"</f>
        <v>000122</v>
      </c>
      <c r="M21" s="10">
        <v>43250</v>
      </c>
      <c r="N21" s="11" t="str">
        <f>"000056"</f>
        <v>000056</v>
      </c>
      <c r="O21" s="10">
        <v>43250</v>
      </c>
      <c r="P21" s="11" t="str">
        <f>"000124"</f>
        <v>000124</v>
      </c>
      <c r="Q21" s="10">
        <v>43250</v>
      </c>
      <c r="R21" s="11">
        <v>17</v>
      </c>
      <c r="S21" s="11" t="str">
        <f>"004000"</f>
        <v>004000</v>
      </c>
      <c r="T21" s="10">
        <v>43300</v>
      </c>
      <c r="U21" s="14">
        <v>3.7652100000000002</v>
      </c>
      <c r="V21" s="14">
        <v>0.26732</v>
      </c>
      <c r="W21" s="14">
        <v>3.4978899999999999</v>
      </c>
      <c r="X21" s="11">
        <v>245</v>
      </c>
      <c r="Y21" s="10">
        <v>43390</v>
      </c>
      <c r="Z21" s="11">
        <v>9731804566</v>
      </c>
      <c r="AA21" s="12" t="s">
        <v>56</v>
      </c>
      <c r="AB21" s="11" t="s">
        <v>42</v>
      </c>
      <c r="AC21" s="12" t="s">
        <v>43</v>
      </c>
      <c r="AD21" s="11" t="s">
        <v>44</v>
      </c>
      <c r="AE21" s="12" t="s">
        <v>45</v>
      </c>
      <c r="AF21" s="14">
        <f t="shared" si="0"/>
        <v>3.7652100000000001E-2</v>
      </c>
      <c r="AG21" s="11" t="s">
        <v>87</v>
      </c>
    </row>
    <row r="22" spans="1:33" x14ac:dyDescent="0.2">
      <c r="A22" s="8">
        <v>7161</v>
      </c>
      <c r="B22" s="9" t="s">
        <v>118</v>
      </c>
      <c r="C22" s="10">
        <v>43418</v>
      </c>
      <c r="D22" s="11">
        <v>138</v>
      </c>
      <c r="E22" s="12" t="s">
        <v>34</v>
      </c>
      <c r="F22" s="12" t="s">
        <v>35</v>
      </c>
      <c r="G22" s="12" t="s">
        <v>36</v>
      </c>
      <c r="H22" s="12" t="s">
        <v>37</v>
      </c>
      <c r="I22" s="11" t="s">
        <v>119</v>
      </c>
      <c r="J22" s="12" t="s">
        <v>120</v>
      </c>
      <c r="K22" s="13" t="s">
        <v>72</v>
      </c>
      <c r="L22" s="11" t="str">
        <f>"000170"</f>
        <v>000170</v>
      </c>
      <c r="M22" s="10">
        <v>43131</v>
      </c>
      <c r="N22" s="11" t="str">
        <f>"000064"</f>
        <v>000064</v>
      </c>
      <c r="O22" s="10">
        <v>43131</v>
      </c>
      <c r="P22" s="11" t="str">
        <f>"000142"</f>
        <v>000142</v>
      </c>
      <c r="Q22" s="10">
        <v>43131</v>
      </c>
      <c r="R22" s="11">
        <v>17</v>
      </c>
      <c r="S22" s="11" t="str">
        <f>"007145"</f>
        <v>007145</v>
      </c>
      <c r="T22" s="10">
        <v>43403</v>
      </c>
      <c r="U22" s="14">
        <v>18.878150000000002</v>
      </c>
      <c r="V22" s="14">
        <v>2.0626699999999998</v>
      </c>
      <c r="W22" s="14">
        <v>16.815480000000001</v>
      </c>
      <c r="X22" s="11">
        <v>261</v>
      </c>
      <c r="Y22" s="10">
        <v>43418</v>
      </c>
      <c r="Z22" s="11">
        <v>9731804566</v>
      </c>
      <c r="AA22" s="12" t="s">
        <v>41</v>
      </c>
      <c r="AB22" s="11" t="s">
        <v>57</v>
      </c>
      <c r="AC22" s="12" t="s">
        <v>58</v>
      </c>
      <c r="AD22" s="11" t="s">
        <v>44</v>
      </c>
      <c r="AE22" s="12" t="s">
        <v>45</v>
      </c>
      <c r="AF22" s="14">
        <f t="shared" si="0"/>
        <v>0.18878150000000002</v>
      </c>
      <c r="AG22" s="11" t="s">
        <v>46</v>
      </c>
    </row>
    <row r="23" spans="1:33" x14ac:dyDescent="0.2">
      <c r="A23" s="8">
        <v>7346</v>
      </c>
      <c r="B23" s="9" t="s">
        <v>118</v>
      </c>
      <c r="C23" s="10">
        <v>43424</v>
      </c>
      <c r="D23" s="11">
        <v>138</v>
      </c>
      <c r="E23" s="12" t="s">
        <v>34</v>
      </c>
      <c r="F23" s="12" t="s">
        <v>35</v>
      </c>
      <c r="G23" s="12" t="s">
        <v>36</v>
      </c>
      <c r="H23" s="12" t="s">
        <v>37</v>
      </c>
      <c r="I23" s="11" t="s">
        <v>121</v>
      </c>
      <c r="J23" s="12" t="s">
        <v>122</v>
      </c>
      <c r="K23" s="13" t="s">
        <v>123</v>
      </c>
      <c r="L23" s="11" t="str">
        <f>"000128"</f>
        <v>000128</v>
      </c>
      <c r="M23" s="10">
        <v>43279</v>
      </c>
      <c r="N23" s="11" t="str">
        <f>"000060"</f>
        <v>000060</v>
      </c>
      <c r="O23" s="10">
        <v>43279</v>
      </c>
      <c r="P23" s="11" t="str">
        <f>"000130"</f>
        <v>000130</v>
      </c>
      <c r="Q23" s="10">
        <v>43280</v>
      </c>
      <c r="R23" s="11">
        <v>18</v>
      </c>
      <c r="S23" s="11" t="str">
        <f>"007225"</f>
        <v>007225</v>
      </c>
      <c r="T23" s="10">
        <v>43404</v>
      </c>
      <c r="U23" s="14">
        <v>13.97007</v>
      </c>
      <c r="V23" s="14">
        <v>1.65917</v>
      </c>
      <c r="W23" s="14">
        <v>12.3109</v>
      </c>
      <c r="X23" s="11">
        <v>271</v>
      </c>
      <c r="Y23" s="10">
        <v>43424</v>
      </c>
      <c r="Z23" s="11">
        <v>9731804566</v>
      </c>
      <c r="AA23" s="12" t="s">
        <v>124</v>
      </c>
      <c r="AB23" s="11" t="s">
        <v>125</v>
      </c>
      <c r="AC23" s="12" t="s">
        <v>126</v>
      </c>
      <c r="AD23" s="11" t="s">
        <v>44</v>
      </c>
      <c r="AE23" s="12" t="s">
        <v>45</v>
      </c>
      <c r="AF23" s="14">
        <f t="shared" si="0"/>
        <v>0.13970070000000001</v>
      </c>
      <c r="AG23" s="11" t="s">
        <v>87</v>
      </c>
    </row>
    <row r="24" spans="1:33" x14ac:dyDescent="0.2">
      <c r="A24" s="8">
        <v>7570</v>
      </c>
      <c r="B24" s="9" t="s">
        <v>127</v>
      </c>
      <c r="C24" s="10">
        <v>43437</v>
      </c>
      <c r="D24" s="11">
        <v>138</v>
      </c>
      <c r="E24" s="12" t="s">
        <v>34</v>
      </c>
      <c r="F24" s="12" t="s">
        <v>35</v>
      </c>
      <c r="G24" s="12" t="s">
        <v>36</v>
      </c>
      <c r="H24" s="12" t="s">
        <v>37</v>
      </c>
      <c r="I24" s="11" t="s">
        <v>128</v>
      </c>
      <c r="J24" s="12" t="s">
        <v>129</v>
      </c>
      <c r="K24" s="13" t="s">
        <v>68</v>
      </c>
      <c r="L24" s="11" t="str">
        <f>"000209"</f>
        <v>000209</v>
      </c>
      <c r="M24" s="10">
        <v>42826</v>
      </c>
      <c r="N24" s="11" t="str">
        <f>"000178"</f>
        <v>000178</v>
      </c>
      <c r="O24" s="10">
        <v>42915</v>
      </c>
      <c r="P24" s="11" t="str">
        <f>"000179"</f>
        <v>000179</v>
      </c>
      <c r="Q24" s="10">
        <v>42885</v>
      </c>
      <c r="R24" s="11">
        <v>17</v>
      </c>
      <c r="S24" s="11" t="str">
        <f>"007394"</f>
        <v>007394</v>
      </c>
      <c r="T24" s="10">
        <v>43421</v>
      </c>
      <c r="U24" s="14">
        <v>20.971720000000001</v>
      </c>
      <c r="V24" s="14">
        <v>2.7227999999999999</v>
      </c>
      <c r="W24" s="14">
        <v>18.248919999999998</v>
      </c>
      <c r="X24" s="11">
        <v>279</v>
      </c>
      <c r="Y24" s="10">
        <v>43437</v>
      </c>
      <c r="Z24" s="11">
        <v>9731804566</v>
      </c>
      <c r="AA24" s="12" t="s">
        <v>78</v>
      </c>
      <c r="AB24" s="11" t="s">
        <v>57</v>
      </c>
      <c r="AC24" s="12" t="s">
        <v>58</v>
      </c>
      <c r="AD24" s="11" t="s">
        <v>44</v>
      </c>
      <c r="AE24" s="12" t="s">
        <v>45</v>
      </c>
      <c r="AF24" s="14">
        <f t="shared" si="0"/>
        <v>0.20971720000000002</v>
      </c>
      <c r="AG24" s="11" t="s">
        <v>46</v>
      </c>
    </row>
    <row r="25" spans="1:33" x14ac:dyDescent="0.2">
      <c r="A25" s="8">
        <v>8055</v>
      </c>
      <c r="B25" s="9" t="s">
        <v>127</v>
      </c>
      <c r="C25" s="10">
        <v>43455</v>
      </c>
      <c r="D25" s="11">
        <v>138</v>
      </c>
      <c r="E25" s="12" t="s">
        <v>34</v>
      </c>
      <c r="F25" s="12" t="s">
        <v>35</v>
      </c>
      <c r="G25" s="12" t="s">
        <v>36</v>
      </c>
      <c r="H25" s="12" t="s">
        <v>37</v>
      </c>
      <c r="I25" s="11" t="s">
        <v>130</v>
      </c>
      <c r="J25" s="12" t="s">
        <v>131</v>
      </c>
      <c r="K25" s="13" t="s">
        <v>68</v>
      </c>
      <c r="L25" s="11" t="str">
        <f>"000306"</f>
        <v>000306</v>
      </c>
      <c r="M25" s="10">
        <v>42826</v>
      </c>
      <c r="N25" s="11" t="str">
        <f>"000278"</f>
        <v>000278</v>
      </c>
      <c r="O25" s="10">
        <v>42884</v>
      </c>
      <c r="P25" s="11" t="str">
        <f>"000177"</f>
        <v>000177</v>
      </c>
      <c r="Q25" s="10">
        <v>42886</v>
      </c>
      <c r="R25" s="11">
        <v>17</v>
      </c>
      <c r="S25" s="11" t="str">
        <f>"007786"</f>
        <v>007786</v>
      </c>
      <c r="T25" s="10">
        <v>43444</v>
      </c>
      <c r="U25" s="14">
        <v>20.95504</v>
      </c>
      <c r="V25" s="14">
        <v>2.7311000000000001</v>
      </c>
      <c r="W25" s="14">
        <v>18.223939999999999</v>
      </c>
      <c r="X25" s="11">
        <v>301</v>
      </c>
      <c r="Y25" s="10">
        <v>43455</v>
      </c>
      <c r="Z25" s="11">
        <v>9731804566</v>
      </c>
      <c r="AA25" s="12" t="s">
        <v>78</v>
      </c>
      <c r="AB25" s="11" t="s">
        <v>57</v>
      </c>
      <c r="AC25" s="12" t="s">
        <v>58</v>
      </c>
      <c r="AD25" s="11" t="s">
        <v>44</v>
      </c>
      <c r="AE25" s="12" t="s">
        <v>45</v>
      </c>
      <c r="AF25" s="14">
        <f t="shared" si="0"/>
        <v>0.2095504</v>
      </c>
      <c r="AG25" s="11" t="s">
        <v>46</v>
      </c>
    </row>
    <row r="26" spans="1:33" x14ac:dyDescent="0.2">
      <c r="A26" s="8">
        <v>8056</v>
      </c>
      <c r="B26" s="9" t="s">
        <v>127</v>
      </c>
      <c r="C26" s="10">
        <v>43455</v>
      </c>
      <c r="D26" s="11">
        <v>138</v>
      </c>
      <c r="E26" s="12" t="s">
        <v>34</v>
      </c>
      <c r="F26" s="12" t="s">
        <v>35</v>
      </c>
      <c r="G26" s="12" t="s">
        <v>36</v>
      </c>
      <c r="H26" s="12" t="s">
        <v>37</v>
      </c>
      <c r="I26" s="11" t="s">
        <v>132</v>
      </c>
      <c r="J26" s="12" t="s">
        <v>133</v>
      </c>
      <c r="K26" s="13" t="s">
        <v>50</v>
      </c>
      <c r="L26" s="11" t="str">
        <f>"000073"</f>
        <v>000073</v>
      </c>
      <c r="M26" s="10">
        <v>42826</v>
      </c>
      <c r="N26" s="11" t="str">
        <f>"000279"</f>
        <v>000279</v>
      </c>
      <c r="O26" s="10">
        <v>42884</v>
      </c>
      <c r="P26" s="11" t="str">
        <f>"000178"</f>
        <v>000178</v>
      </c>
      <c r="Q26" s="10">
        <v>42886</v>
      </c>
      <c r="R26" s="11">
        <v>16</v>
      </c>
      <c r="S26" s="11" t="str">
        <f>"007787"</f>
        <v>007787</v>
      </c>
      <c r="T26" s="10">
        <v>43444</v>
      </c>
      <c r="U26" s="14">
        <v>20.79899</v>
      </c>
      <c r="V26" s="14">
        <v>2.6837</v>
      </c>
      <c r="W26" s="14">
        <v>18.115290000000002</v>
      </c>
      <c r="X26" s="11">
        <v>301</v>
      </c>
      <c r="Y26" s="10">
        <v>43455</v>
      </c>
      <c r="Z26" s="11">
        <v>9731804566</v>
      </c>
      <c r="AA26" s="12" t="s">
        <v>78</v>
      </c>
      <c r="AB26" s="11" t="s">
        <v>52</v>
      </c>
      <c r="AC26" s="12" t="s">
        <v>53</v>
      </c>
      <c r="AD26" s="11" t="s">
        <v>44</v>
      </c>
      <c r="AE26" s="12" t="s">
        <v>45</v>
      </c>
      <c r="AF26" s="14">
        <f t="shared" si="0"/>
        <v>0.20798990000000001</v>
      </c>
      <c r="AG26" s="11" t="s">
        <v>46</v>
      </c>
    </row>
    <row r="27" spans="1:33" x14ac:dyDescent="0.2">
      <c r="A27" s="8">
        <v>8103</v>
      </c>
      <c r="B27" s="9" t="s">
        <v>127</v>
      </c>
      <c r="C27" s="10">
        <v>43462</v>
      </c>
      <c r="D27" s="11">
        <v>138</v>
      </c>
      <c r="E27" s="12" t="s">
        <v>34</v>
      </c>
      <c r="F27" s="12" t="s">
        <v>35</v>
      </c>
      <c r="G27" s="12" t="s">
        <v>36</v>
      </c>
      <c r="H27" s="12" t="s">
        <v>37</v>
      </c>
      <c r="I27" s="11" t="s">
        <v>134</v>
      </c>
      <c r="J27" s="12" t="s">
        <v>135</v>
      </c>
      <c r="K27" s="13" t="s">
        <v>72</v>
      </c>
      <c r="L27" s="11" t="str">
        <f>"000258"</f>
        <v>000258</v>
      </c>
      <c r="M27" s="10">
        <v>43186</v>
      </c>
      <c r="N27" s="11" t="str">
        <f>"000088"</f>
        <v>000088</v>
      </c>
      <c r="O27" s="10">
        <v>43186</v>
      </c>
      <c r="P27" s="11" t="str">
        <f>"000250"</f>
        <v>000250</v>
      </c>
      <c r="Q27" s="10">
        <v>43187</v>
      </c>
      <c r="R27" s="11">
        <v>18</v>
      </c>
      <c r="S27" s="11" t="str">
        <f>"008160"</f>
        <v>008160</v>
      </c>
      <c r="T27" s="10">
        <v>43455</v>
      </c>
      <c r="U27" s="14">
        <v>10.468489999999999</v>
      </c>
      <c r="V27" s="14">
        <v>1.0684899999999999</v>
      </c>
      <c r="W27" s="14">
        <v>9.4</v>
      </c>
      <c r="X27" s="11">
        <v>306</v>
      </c>
      <c r="Y27" s="10">
        <v>43462</v>
      </c>
      <c r="Z27" s="11">
        <v>9731804566</v>
      </c>
      <c r="AA27" s="12" t="s">
        <v>78</v>
      </c>
      <c r="AB27" s="11" t="s">
        <v>136</v>
      </c>
      <c r="AC27" s="12" t="s">
        <v>137</v>
      </c>
      <c r="AD27" s="11" t="s">
        <v>44</v>
      </c>
      <c r="AE27" s="12" t="s">
        <v>45</v>
      </c>
      <c r="AF27" s="14">
        <f t="shared" si="0"/>
        <v>0.1046849</v>
      </c>
      <c r="AG27" s="11" t="s">
        <v>46</v>
      </c>
    </row>
    <row r="28" spans="1:33" x14ac:dyDescent="0.2">
      <c r="A28" s="8">
        <v>8104</v>
      </c>
      <c r="B28" s="9" t="s">
        <v>127</v>
      </c>
      <c r="C28" s="10">
        <v>43462</v>
      </c>
      <c r="D28" s="11">
        <v>138</v>
      </c>
      <c r="E28" s="12" t="s">
        <v>34</v>
      </c>
      <c r="F28" s="12" t="s">
        <v>35</v>
      </c>
      <c r="G28" s="12" t="s">
        <v>36</v>
      </c>
      <c r="H28" s="12" t="s">
        <v>37</v>
      </c>
      <c r="I28" s="11" t="s">
        <v>138</v>
      </c>
      <c r="J28" s="12" t="s">
        <v>139</v>
      </c>
      <c r="K28" s="13" t="s">
        <v>72</v>
      </c>
      <c r="L28" s="11" t="str">
        <f>"000259"</f>
        <v>000259</v>
      </c>
      <c r="M28" s="10">
        <v>43186</v>
      </c>
      <c r="N28" s="11" t="str">
        <f>"000089"</f>
        <v>000089</v>
      </c>
      <c r="O28" s="10">
        <v>43186</v>
      </c>
      <c r="P28" s="11" t="str">
        <f>"000251"</f>
        <v>000251</v>
      </c>
      <c r="Q28" s="10">
        <v>43187</v>
      </c>
      <c r="R28" s="11">
        <v>18</v>
      </c>
      <c r="S28" s="11" t="str">
        <f>"008161"</f>
        <v>008161</v>
      </c>
      <c r="T28" s="10">
        <v>43455</v>
      </c>
      <c r="U28" s="14">
        <v>15.744540000000001</v>
      </c>
      <c r="V28" s="14">
        <v>1.6852199999999999</v>
      </c>
      <c r="W28" s="14">
        <v>14.05932</v>
      </c>
      <c r="X28" s="11">
        <v>306</v>
      </c>
      <c r="Y28" s="10">
        <v>43462</v>
      </c>
      <c r="Z28" s="11">
        <v>9731804566</v>
      </c>
      <c r="AA28" s="12" t="s">
        <v>41</v>
      </c>
      <c r="AB28" s="11" t="s">
        <v>136</v>
      </c>
      <c r="AC28" s="12" t="s">
        <v>137</v>
      </c>
      <c r="AD28" s="11" t="s">
        <v>44</v>
      </c>
      <c r="AE28" s="12" t="s">
        <v>45</v>
      </c>
      <c r="AF28" s="14">
        <f t="shared" si="0"/>
        <v>0.15744540000000001</v>
      </c>
      <c r="AG28" s="11" t="s">
        <v>46</v>
      </c>
    </row>
    <row r="29" spans="1:33" x14ac:dyDescent="0.2">
      <c r="A29" s="8">
        <v>8105</v>
      </c>
      <c r="B29" s="9" t="s">
        <v>127</v>
      </c>
      <c r="C29" s="10">
        <v>43462</v>
      </c>
      <c r="D29" s="11">
        <v>138</v>
      </c>
      <c r="E29" s="12" t="s">
        <v>34</v>
      </c>
      <c r="F29" s="12" t="s">
        <v>35</v>
      </c>
      <c r="G29" s="12" t="s">
        <v>36</v>
      </c>
      <c r="H29" s="12" t="s">
        <v>37</v>
      </c>
      <c r="I29" s="11" t="s">
        <v>140</v>
      </c>
      <c r="J29" s="12" t="s">
        <v>141</v>
      </c>
      <c r="K29" s="13" t="s">
        <v>72</v>
      </c>
      <c r="L29" s="11" t="str">
        <f>"000260"</f>
        <v>000260</v>
      </c>
      <c r="M29" s="10">
        <v>43186</v>
      </c>
      <c r="N29" s="11" t="str">
        <f>"000090"</f>
        <v>000090</v>
      </c>
      <c r="O29" s="10">
        <v>43186</v>
      </c>
      <c r="P29" s="11" t="str">
        <f>"000252"</f>
        <v>000252</v>
      </c>
      <c r="Q29" s="10">
        <v>43187</v>
      </c>
      <c r="R29" s="11">
        <v>18</v>
      </c>
      <c r="S29" s="11" t="str">
        <f>"008162"</f>
        <v>008162</v>
      </c>
      <c r="T29" s="10">
        <v>43455</v>
      </c>
      <c r="U29" s="14">
        <v>15.73784</v>
      </c>
      <c r="V29" s="14">
        <v>1.68337</v>
      </c>
      <c r="W29" s="14">
        <v>14.05447</v>
      </c>
      <c r="X29" s="11">
        <v>306</v>
      </c>
      <c r="Y29" s="10">
        <v>43462</v>
      </c>
      <c r="Z29" s="11">
        <v>9731804566</v>
      </c>
      <c r="AA29" s="12" t="s">
        <v>41</v>
      </c>
      <c r="AB29" s="11" t="s">
        <v>136</v>
      </c>
      <c r="AC29" s="12" t="s">
        <v>137</v>
      </c>
      <c r="AD29" s="11" t="s">
        <v>44</v>
      </c>
      <c r="AE29" s="12" t="s">
        <v>45</v>
      </c>
      <c r="AF29" s="14">
        <f t="shared" si="0"/>
        <v>0.1573784</v>
      </c>
      <c r="AG29" s="11" t="s">
        <v>46</v>
      </c>
    </row>
    <row r="30" spans="1:33" x14ac:dyDescent="0.2">
      <c r="A30" s="8">
        <v>8505</v>
      </c>
      <c r="B30" s="9" t="s">
        <v>142</v>
      </c>
      <c r="C30" s="10">
        <v>43472</v>
      </c>
      <c r="D30" s="11">
        <v>138</v>
      </c>
      <c r="E30" s="12" t="s">
        <v>34</v>
      </c>
      <c r="F30" s="12" t="s">
        <v>35</v>
      </c>
      <c r="G30" s="12" t="s">
        <v>36</v>
      </c>
      <c r="H30" s="12" t="s">
        <v>37</v>
      </c>
      <c r="I30" s="11" t="s">
        <v>143</v>
      </c>
      <c r="J30" s="12" t="s">
        <v>144</v>
      </c>
      <c r="K30" s="13" t="s">
        <v>68</v>
      </c>
      <c r="L30" s="11" t="str">
        <f>"000096"</f>
        <v>000096</v>
      </c>
      <c r="M30" s="10">
        <v>43116</v>
      </c>
      <c r="N30" s="11" t="str">
        <f>"000054"</f>
        <v>000054</v>
      </c>
      <c r="O30" s="10">
        <v>43116</v>
      </c>
      <c r="P30" s="11" t="str">
        <f>"000089"</f>
        <v>000089</v>
      </c>
      <c r="Q30" s="10">
        <v>43116</v>
      </c>
      <c r="R30" s="11"/>
      <c r="S30" s="11" t="str">
        <f>"009410"</f>
        <v>009410</v>
      </c>
      <c r="T30" s="10">
        <v>43132</v>
      </c>
      <c r="U30" s="14">
        <v>409.12927000000002</v>
      </c>
      <c r="V30" s="14">
        <v>20.865570000000002</v>
      </c>
      <c r="W30" s="14">
        <v>388.26369999999997</v>
      </c>
      <c r="X30" s="11">
        <v>319</v>
      </c>
      <c r="Y30" s="10">
        <v>43472</v>
      </c>
      <c r="Z30" s="11">
        <v>9886296777</v>
      </c>
      <c r="AA30" s="12" t="s">
        <v>145</v>
      </c>
      <c r="AB30" s="11" t="s">
        <v>146</v>
      </c>
      <c r="AC30" s="12" t="s">
        <v>147</v>
      </c>
      <c r="AD30" s="11" t="s">
        <v>44</v>
      </c>
      <c r="AE30" s="12" t="s">
        <v>45</v>
      </c>
      <c r="AF30" s="14">
        <f t="shared" si="0"/>
        <v>4.0912927000000003</v>
      </c>
      <c r="AG30" s="11" t="s">
        <v>46</v>
      </c>
    </row>
    <row r="31" spans="1:33" x14ac:dyDescent="0.2">
      <c r="A31" s="8">
        <v>9101</v>
      </c>
      <c r="B31" s="9" t="s">
        <v>148</v>
      </c>
      <c r="C31" s="10">
        <v>43508</v>
      </c>
      <c r="D31" s="11">
        <v>138</v>
      </c>
      <c r="E31" s="12" t="s">
        <v>34</v>
      </c>
      <c r="F31" s="12" t="s">
        <v>35</v>
      </c>
      <c r="G31" s="12" t="s">
        <v>36</v>
      </c>
      <c r="H31" s="12" t="s">
        <v>37</v>
      </c>
      <c r="I31" s="11" t="s">
        <v>149</v>
      </c>
      <c r="J31" s="12" t="s">
        <v>150</v>
      </c>
      <c r="K31" s="13" t="s">
        <v>50</v>
      </c>
      <c r="L31" s="11" t="str">
        <f>"000141"</f>
        <v>000141</v>
      </c>
      <c r="M31" s="10">
        <v>41954</v>
      </c>
      <c r="N31" s="11" t="str">
        <f>"000445"</f>
        <v>000445</v>
      </c>
      <c r="O31" s="10">
        <v>42174</v>
      </c>
      <c r="P31" s="11" t="str">
        <f>"000236"</f>
        <v>000236</v>
      </c>
      <c r="Q31" s="10">
        <v>42551</v>
      </c>
      <c r="R31" s="11"/>
      <c r="S31" s="11" t="str">
        <f>"008519"</f>
        <v>008519</v>
      </c>
      <c r="T31" s="10">
        <v>43468</v>
      </c>
      <c r="U31" s="14">
        <v>9.9768399999999993</v>
      </c>
      <c r="V31" s="14">
        <v>1.22854</v>
      </c>
      <c r="W31" s="14">
        <v>8.7483000000000004</v>
      </c>
      <c r="X31" s="11">
        <v>348</v>
      </c>
      <c r="Y31" s="10">
        <v>43508</v>
      </c>
      <c r="Z31" s="11">
        <v>9886296777</v>
      </c>
      <c r="AA31" s="12" t="s">
        <v>151</v>
      </c>
      <c r="AB31" s="11" t="s">
        <v>57</v>
      </c>
      <c r="AC31" s="12" t="s">
        <v>58</v>
      </c>
      <c r="AD31" s="11" t="s">
        <v>44</v>
      </c>
      <c r="AE31" s="12" t="s">
        <v>45</v>
      </c>
      <c r="AF31" s="14">
        <f t="shared" si="0"/>
        <v>9.9768399999999993E-2</v>
      </c>
      <c r="AG31" s="11" t="s">
        <v>46</v>
      </c>
    </row>
    <row r="32" spans="1:33" x14ac:dyDescent="0.2">
      <c r="A32" s="8">
        <v>9681</v>
      </c>
      <c r="B32" s="9" t="s">
        <v>152</v>
      </c>
      <c r="C32" s="10">
        <v>43539</v>
      </c>
      <c r="D32" s="11">
        <v>138</v>
      </c>
      <c r="E32" s="12" t="s">
        <v>34</v>
      </c>
      <c r="F32" s="12" t="s">
        <v>35</v>
      </c>
      <c r="G32" s="12" t="s">
        <v>36</v>
      </c>
      <c r="H32" s="12" t="s">
        <v>37</v>
      </c>
      <c r="I32" s="11" t="s">
        <v>153</v>
      </c>
      <c r="J32" s="12" t="s">
        <v>154</v>
      </c>
      <c r="K32" s="13" t="s">
        <v>50</v>
      </c>
      <c r="L32" s="11" t="str">
        <f>"000363"</f>
        <v>000363</v>
      </c>
      <c r="M32" s="10">
        <v>42641</v>
      </c>
      <c r="N32" s="11" t="str">
        <f>"000259"</f>
        <v>000259</v>
      </c>
      <c r="O32" s="10">
        <v>42916</v>
      </c>
      <c r="P32" s="11" t="str">
        <f>"000112"</f>
        <v>000112</v>
      </c>
      <c r="Q32" s="10">
        <v>42916</v>
      </c>
      <c r="R32" s="11"/>
      <c r="S32" s="11" t="str">
        <f>"009739"</f>
        <v>009739</v>
      </c>
      <c r="T32" s="10">
        <v>43538</v>
      </c>
      <c r="U32" s="14">
        <v>19.991420000000002</v>
      </c>
      <c r="V32" s="14">
        <v>2.6968999999999999</v>
      </c>
      <c r="W32" s="14">
        <v>17.294519999999999</v>
      </c>
      <c r="X32" s="11">
        <v>376</v>
      </c>
      <c r="Y32" s="10">
        <v>43539</v>
      </c>
      <c r="Z32" s="11">
        <v>9731804566</v>
      </c>
      <c r="AA32" s="12" t="s">
        <v>56</v>
      </c>
      <c r="AB32" s="11" t="s">
        <v>52</v>
      </c>
      <c r="AC32" s="12" t="s">
        <v>53</v>
      </c>
      <c r="AD32" s="11" t="s">
        <v>44</v>
      </c>
      <c r="AE32" s="12" t="s">
        <v>45</v>
      </c>
      <c r="AF32" s="14">
        <f t="shared" si="0"/>
        <v>0.19991420000000001</v>
      </c>
      <c r="AG32" s="11" t="s">
        <v>46</v>
      </c>
    </row>
    <row r="33" spans="1:33" x14ac:dyDescent="0.2">
      <c r="A33" s="8">
        <v>9682</v>
      </c>
      <c r="B33" s="9" t="s">
        <v>152</v>
      </c>
      <c r="C33" s="10">
        <v>43539</v>
      </c>
      <c r="D33" s="11">
        <v>138</v>
      </c>
      <c r="E33" s="12" t="s">
        <v>34</v>
      </c>
      <c r="F33" s="12" t="s">
        <v>35</v>
      </c>
      <c r="G33" s="12" t="s">
        <v>36</v>
      </c>
      <c r="H33" s="12" t="s">
        <v>37</v>
      </c>
      <c r="I33" s="11" t="s">
        <v>155</v>
      </c>
      <c r="J33" s="12" t="s">
        <v>156</v>
      </c>
      <c r="K33" s="13" t="s">
        <v>68</v>
      </c>
      <c r="L33" s="11" t="str">
        <f>"000423"</f>
        <v>000423</v>
      </c>
      <c r="M33" s="10">
        <v>42895</v>
      </c>
      <c r="N33" s="11" t="str">
        <f>"000113"</f>
        <v>000113</v>
      </c>
      <c r="O33" s="10">
        <v>42916</v>
      </c>
      <c r="P33" s="11" t="str">
        <f>"000113"</f>
        <v>000113</v>
      </c>
      <c r="Q33" s="10">
        <v>42916</v>
      </c>
      <c r="R33" s="11"/>
      <c r="S33" s="11" t="str">
        <f>"009740"</f>
        <v>009740</v>
      </c>
      <c r="T33" s="10">
        <v>43538</v>
      </c>
      <c r="U33" s="14">
        <v>20.95656</v>
      </c>
      <c r="V33" s="14">
        <v>2.8081499999999999</v>
      </c>
      <c r="W33" s="14">
        <v>18.148409999999998</v>
      </c>
      <c r="X33" s="11">
        <v>376</v>
      </c>
      <c r="Y33" s="10">
        <v>43539</v>
      </c>
      <c r="Z33" s="11">
        <v>7829190964</v>
      </c>
      <c r="AA33" s="12" t="s">
        <v>56</v>
      </c>
      <c r="AB33" s="11" t="s">
        <v>157</v>
      </c>
      <c r="AC33" s="12" t="s">
        <v>158</v>
      </c>
      <c r="AD33" s="11" t="s">
        <v>44</v>
      </c>
      <c r="AE33" s="12" t="s">
        <v>45</v>
      </c>
      <c r="AF33" s="14">
        <f t="shared" si="0"/>
        <v>0.20956559999999999</v>
      </c>
      <c r="AG33" s="11" t="s">
        <v>46</v>
      </c>
    </row>
    <row r="34" spans="1:33" x14ac:dyDescent="0.2">
      <c r="A34" s="8">
        <v>9684</v>
      </c>
      <c r="B34" s="9" t="s">
        <v>152</v>
      </c>
      <c r="C34" s="10">
        <v>43539</v>
      </c>
      <c r="D34" s="11">
        <v>138</v>
      </c>
      <c r="E34" s="12" t="s">
        <v>34</v>
      </c>
      <c r="F34" s="12" t="s">
        <v>35</v>
      </c>
      <c r="G34" s="12" t="s">
        <v>36</v>
      </c>
      <c r="H34" s="12" t="s">
        <v>37</v>
      </c>
      <c r="I34" s="11" t="s">
        <v>159</v>
      </c>
      <c r="J34" s="12" t="s">
        <v>160</v>
      </c>
      <c r="K34" s="13" t="s">
        <v>68</v>
      </c>
      <c r="L34" s="11" t="str">
        <f>"000073"</f>
        <v>000073</v>
      </c>
      <c r="M34" s="10">
        <v>42895</v>
      </c>
      <c r="N34" s="11" t="str">
        <f>"000257"</f>
        <v>000257</v>
      </c>
      <c r="O34" s="10">
        <v>42916</v>
      </c>
      <c r="P34" s="11" t="str">
        <f>"000114"</f>
        <v>000114</v>
      </c>
      <c r="Q34" s="10">
        <v>42916</v>
      </c>
      <c r="R34" s="11"/>
      <c r="S34" s="11" t="str">
        <f>"009742"</f>
        <v>009742</v>
      </c>
      <c r="T34" s="10">
        <v>43538</v>
      </c>
      <c r="U34" s="14">
        <v>20.952190000000002</v>
      </c>
      <c r="V34" s="14">
        <v>2.8075999999999999</v>
      </c>
      <c r="W34" s="14">
        <v>18.144590000000001</v>
      </c>
      <c r="X34" s="11">
        <v>376</v>
      </c>
      <c r="Y34" s="10">
        <v>43539</v>
      </c>
      <c r="Z34" s="11">
        <v>9731804566</v>
      </c>
      <c r="AA34" s="12" t="s">
        <v>56</v>
      </c>
      <c r="AB34" s="11" t="s">
        <v>157</v>
      </c>
      <c r="AC34" s="12" t="s">
        <v>158</v>
      </c>
      <c r="AD34" s="11" t="s">
        <v>44</v>
      </c>
      <c r="AE34" s="12" t="s">
        <v>45</v>
      </c>
      <c r="AF34" s="14">
        <f t="shared" si="0"/>
        <v>0.20952190000000001</v>
      </c>
      <c r="AG34" s="11" t="s">
        <v>46</v>
      </c>
    </row>
    <row r="35" spans="1:33" x14ac:dyDescent="0.2">
      <c r="A35" s="8">
        <v>9758</v>
      </c>
      <c r="B35" s="9" t="s">
        <v>152</v>
      </c>
      <c r="C35" s="10">
        <v>43544</v>
      </c>
      <c r="D35" s="11">
        <v>138</v>
      </c>
      <c r="E35" s="12" t="s">
        <v>34</v>
      </c>
      <c r="F35" s="12" t="s">
        <v>35</v>
      </c>
      <c r="G35" s="12" t="s">
        <v>36</v>
      </c>
      <c r="H35" s="12" t="s">
        <v>37</v>
      </c>
      <c r="I35" s="11" t="s">
        <v>161</v>
      </c>
      <c r="J35" s="12" t="s">
        <v>162</v>
      </c>
      <c r="K35" s="13" t="s">
        <v>40</v>
      </c>
      <c r="L35" s="11" t="str">
        <f>"000118"</f>
        <v>000118</v>
      </c>
      <c r="M35" s="10">
        <v>43250</v>
      </c>
      <c r="N35" s="11" t="str">
        <f>"000052"</f>
        <v>000052</v>
      </c>
      <c r="O35" s="10">
        <v>43250</v>
      </c>
      <c r="P35" s="11" t="str">
        <f>"000120"</f>
        <v>000120</v>
      </c>
      <c r="Q35" s="10">
        <v>43250</v>
      </c>
      <c r="R35" s="11"/>
      <c r="S35" s="11" t="str">
        <f>"009807"</f>
        <v>009807</v>
      </c>
      <c r="T35" s="10">
        <v>43539</v>
      </c>
      <c r="U35" s="14">
        <v>5.2417999999999996</v>
      </c>
      <c r="V35" s="14">
        <v>0.56491999999999998</v>
      </c>
      <c r="W35" s="14">
        <v>4.6768799999999997</v>
      </c>
      <c r="X35" s="11">
        <v>378</v>
      </c>
      <c r="Y35" s="10">
        <v>43544</v>
      </c>
      <c r="Z35" s="11">
        <v>9731804566</v>
      </c>
      <c r="AA35" s="12" t="s">
        <v>56</v>
      </c>
      <c r="AB35" s="11" t="s">
        <v>57</v>
      </c>
      <c r="AC35" s="12" t="s">
        <v>58</v>
      </c>
      <c r="AD35" s="11" t="s">
        <v>44</v>
      </c>
      <c r="AE35" s="12" t="s">
        <v>45</v>
      </c>
      <c r="AF35" s="14">
        <f t="shared" si="0"/>
        <v>5.2417999999999992E-2</v>
      </c>
      <c r="AG35" s="11" t="s">
        <v>87</v>
      </c>
    </row>
    <row r="36" spans="1:33" x14ac:dyDescent="0.2">
      <c r="A36" s="8">
        <v>9759</v>
      </c>
      <c r="B36" s="9" t="s">
        <v>152</v>
      </c>
      <c r="C36" s="10">
        <v>43544</v>
      </c>
      <c r="D36" s="11">
        <v>138</v>
      </c>
      <c r="E36" s="12" t="s">
        <v>34</v>
      </c>
      <c r="F36" s="12" t="s">
        <v>35</v>
      </c>
      <c r="G36" s="12" t="s">
        <v>36</v>
      </c>
      <c r="H36" s="12" t="s">
        <v>37</v>
      </c>
      <c r="I36" s="11" t="s">
        <v>163</v>
      </c>
      <c r="J36" s="12" t="s">
        <v>164</v>
      </c>
      <c r="K36" s="13" t="s">
        <v>72</v>
      </c>
      <c r="L36" s="11" t="str">
        <f>"000121"</f>
        <v>000121</v>
      </c>
      <c r="M36" s="10">
        <v>43250</v>
      </c>
      <c r="N36" s="11" t="str">
        <f>"000055"</f>
        <v>000055</v>
      </c>
      <c r="O36" s="10">
        <v>43250</v>
      </c>
      <c r="P36" s="11" t="str">
        <f>"000123"</f>
        <v>000123</v>
      </c>
      <c r="Q36" s="10">
        <v>43250</v>
      </c>
      <c r="R36" s="11"/>
      <c r="S36" s="11" t="str">
        <f>"009808"</f>
        <v>009808</v>
      </c>
      <c r="T36" s="10">
        <v>43539</v>
      </c>
      <c r="U36" s="14">
        <v>9.9946800000000007</v>
      </c>
      <c r="V36" s="14">
        <v>1.0204899999999999</v>
      </c>
      <c r="W36" s="14">
        <v>8.9741900000000001</v>
      </c>
      <c r="X36" s="11">
        <v>378</v>
      </c>
      <c r="Y36" s="10">
        <v>43544</v>
      </c>
      <c r="Z36" s="11">
        <v>9731804566</v>
      </c>
      <c r="AA36" s="12" t="s">
        <v>41</v>
      </c>
      <c r="AB36" s="11" t="s">
        <v>136</v>
      </c>
      <c r="AC36" s="12" t="s">
        <v>137</v>
      </c>
      <c r="AD36" s="11" t="s">
        <v>44</v>
      </c>
      <c r="AE36" s="12" t="s">
        <v>45</v>
      </c>
      <c r="AF36" s="14">
        <f t="shared" si="0"/>
        <v>9.9946800000000002E-2</v>
      </c>
      <c r="AG36" s="11" t="s">
        <v>87</v>
      </c>
    </row>
    <row r="37" spans="1:33" x14ac:dyDescent="0.2">
      <c r="A37" s="8">
        <v>9760</v>
      </c>
      <c r="B37" s="9" t="s">
        <v>152</v>
      </c>
      <c r="C37" s="10">
        <v>43544</v>
      </c>
      <c r="D37" s="11">
        <v>138</v>
      </c>
      <c r="E37" s="12" t="s">
        <v>34</v>
      </c>
      <c r="F37" s="12" t="s">
        <v>35</v>
      </c>
      <c r="G37" s="12" t="s">
        <v>36</v>
      </c>
      <c r="H37" s="12" t="s">
        <v>37</v>
      </c>
      <c r="I37" s="11" t="s">
        <v>103</v>
      </c>
      <c r="J37" s="12" t="s">
        <v>104</v>
      </c>
      <c r="K37" s="13" t="s">
        <v>40</v>
      </c>
      <c r="L37" s="11" t="str">
        <f>"000032"</f>
        <v>000032</v>
      </c>
      <c r="M37" s="10">
        <v>43071</v>
      </c>
      <c r="N37" s="11" t="str">
        <f>"000007"</f>
        <v>000007</v>
      </c>
      <c r="O37" s="10">
        <v>43072</v>
      </c>
      <c r="P37" s="11" t="str">
        <f>"000048"</f>
        <v>000048</v>
      </c>
      <c r="Q37" s="10">
        <v>43080</v>
      </c>
      <c r="R37" s="11"/>
      <c r="S37" s="11" t="str">
        <f>"005931"</f>
        <v>005931</v>
      </c>
      <c r="T37" s="10">
        <v>43368</v>
      </c>
      <c r="U37" s="14">
        <v>23.621379999999998</v>
      </c>
      <c r="V37" s="14">
        <v>2.6678500000000001</v>
      </c>
      <c r="W37" s="14">
        <v>20.953530000000001</v>
      </c>
      <c r="X37" s="11">
        <v>378</v>
      </c>
      <c r="Y37" s="10">
        <v>43544</v>
      </c>
      <c r="Z37" s="11">
        <v>9731804566</v>
      </c>
      <c r="AA37" s="12" t="s">
        <v>56</v>
      </c>
      <c r="AB37" s="11" t="s">
        <v>106</v>
      </c>
      <c r="AC37" s="12" t="s">
        <v>107</v>
      </c>
      <c r="AD37" s="11" t="s">
        <v>44</v>
      </c>
      <c r="AE37" s="12" t="s">
        <v>45</v>
      </c>
      <c r="AF37" s="14">
        <f t="shared" si="0"/>
        <v>0.23621379999999997</v>
      </c>
      <c r="AG37" s="11" t="s">
        <v>46</v>
      </c>
    </row>
    <row r="38" spans="1:33" x14ac:dyDescent="0.2">
      <c r="A38" s="8">
        <v>10066</v>
      </c>
      <c r="B38" s="9" t="s">
        <v>152</v>
      </c>
      <c r="C38" s="10">
        <v>43552</v>
      </c>
      <c r="D38" s="11">
        <v>138</v>
      </c>
      <c r="E38" s="12" t="s">
        <v>34</v>
      </c>
      <c r="F38" s="12" t="s">
        <v>35</v>
      </c>
      <c r="G38" s="12" t="s">
        <v>36</v>
      </c>
      <c r="H38" s="12" t="s">
        <v>37</v>
      </c>
      <c r="I38" s="11" t="s">
        <v>165</v>
      </c>
      <c r="J38" s="12" t="s">
        <v>166</v>
      </c>
      <c r="K38" s="13" t="s">
        <v>72</v>
      </c>
      <c r="L38" s="11" t="str">
        <f>"000119"</f>
        <v>000119</v>
      </c>
      <c r="M38" s="10">
        <v>43250</v>
      </c>
      <c r="N38" s="11" t="str">
        <f>"000053"</f>
        <v>000053</v>
      </c>
      <c r="O38" s="10">
        <v>43250</v>
      </c>
      <c r="P38" s="11" t="str">
        <f>"000121"</f>
        <v>000121</v>
      </c>
      <c r="Q38" s="10">
        <v>43250</v>
      </c>
      <c r="R38" s="11"/>
      <c r="S38" s="11" t="str">
        <f>"009990"</f>
        <v>009990</v>
      </c>
      <c r="T38" s="10">
        <v>43551</v>
      </c>
      <c r="U38" s="14">
        <v>14.98765</v>
      </c>
      <c r="V38" s="14">
        <v>1.6157600000000001</v>
      </c>
      <c r="W38" s="14">
        <v>13.37189</v>
      </c>
      <c r="X38" s="11">
        <v>391</v>
      </c>
      <c r="Y38" s="10">
        <v>43552</v>
      </c>
      <c r="Z38" s="11">
        <v>9731804566</v>
      </c>
      <c r="AA38" s="12" t="s">
        <v>167</v>
      </c>
      <c r="AB38" s="11" t="s">
        <v>73</v>
      </c>
      <c r="AC38" s="12" t="s">
        <v>74</v>
      </c>
      <c r="AD38" s="11" t="s">
        <v>44</v>
      </c>
      <c r="AE38" s="12" t="s">
        <v>45</v>
      </c>
      <c r="AF38" s="14">
        <f t="shared" si="0"/>
        <v>0.1498765</v>
      </c>
      <c r="AG38" s="11" t="s">
        <v>87</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2019-06-13T11:54:19Z</dcterms:modified>
</cp:coreProperties>
</file>