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1" i="1" l="1"/>
  <c r="S91" i="1"/>
  <c r="P91" i="1"/>
  <c r="N91" i="1"/>
  <c r="L91" i="1"/>
  <c r="AF90" i="1"/>
  <c r="S90" i="1"/>
  <c r="P90" i="1"/>
  <c r="N90" i="1"/>
  <c r="L90" i="1"/>
  <c r="AF89" i="1"/>
  <c r="S89" i="1"/>
  <c r="P89" i="1"/>
  <c r="N89" i="1"/>
  <c r="L89" i="1"/>
  <c r="AF88" i="1"/>
  <c r="S88" i="1"/>
  <c r="P88" i="1"/>
  <c r="N88" i="1"/>
  <c r="L88" i="1"/>
  <c r="AF87" i="1"/>
  <c r="S87" i="1"/>
  <c r="P87" i="1"/>
  <c r="N87" i="1"/>
  <c r="L87" i="1"/>
  <c r="AF86" i="1"/>
  <c r="S86" i="1"/>
  <c r="P86" i="1"/>
  <c r="N86" i="1"/>
  <c r="L86" i="1"/>
  <c r="AF85" i="1"/>
  <c r="S85" i="1"/>
  <c r="P85" i="1"/>
  <c r="N85" i="1"/>
  <c r="L85" i="1"/>
  <c r="AF84" i="1"/>
  <c r="S84" i="1"/>
  <c r="P84" i="1"/>
  <c r="N84" i="1"/>
  <c r="L84" i="1"/>
  <c r="AF83" i="1"/>
  <c r="S83" i="1"/>
  <c r="P83" i="1"/>
  <c r="N83" i="1"/>
  <c r="L83" i="1"/>
  <c r="AF82" i="1"/>
  <c r="S82" i="1"/>
  <c r="P82" i="1"/>
  <c r="N82" i="1"/>
  <c r="L82" i="1"/>
  <c r="AF81" i="1"/>
  <c r="S81" i="1"/>
  <c r="P81" i="1"/>
  <c r="N81" i="1"/>
  <c r="L81" i="1"/>
  <c r="AF80" i="1"/>
  <c r="S80" i="1"/>
  <c r="P80" i="1"/>
  <c r="N80" i="1"/>
  <c r="L80" i="1"/>
  <c r="AF79" i="1"/>
  <c r="S79" i="1"/>
  <c r="P79" i="1"/>
  <c r="N79" i="1"/>
  <c r="L79" i="1"/>
  <c r="AF78" i="1"/>
  <c r="S78" i="1"/>
  <c r="P78" i="1"/>
  <c r="N78" i="1"/>
  <c r="L78" i="1"/>
  <c r="AF77" i="1"/>
  <c r="S77" i="1"/>
  <c r="P77" i="1"/>
  <c r="N77" i="1"/>
  <c r="L77" i="1"/>
  <c r="AF76" i="1"/>
  <c r="S76" i="1"/>
  <c r="P76" i="1"/>
  <c r="N76" i="1"/>
  <c r="L76" i="1"/>
  <c r="AF75" i="1"/>
  <c r="S75" i="1"/>
  <c r="P75" i="1"/>
  <c r="N75" i="1"/>
  <c r="L75" i="1"/>
  <c r="AF74" i="1"/>
  <c r="S74" i="1"/>
  <c r="P74" i="1"/>
  <c r="N74" i="1"/>
  <c r="L74" i="1"/>
  <c r="AF73" i="1"/>
  <c r="S73" i="1"/>
  <c r="P73" i="1"/>
  <c r="N73" i="1"/>
  <c r="L73" i="1"/>
  <c r="AF72" i="1"/>
  <c r="S72" i="1"/>
  <c r="P72" i="1"/>
  <c r="N72" i="1"/>
  <c r="L72" i="1"/>
  <c r="AF71" i="1"/>
  <c r="S71" i="1"/>
  <c r="P71" i="1"/>
  <c r="N71" i="1"/>
  <c r="L71" i="1"/>
  <c r="AF70" i="1"/>
  <c r="S70" i="1"/>
  <c r="P70" i="1"/>
  <c r="N70" i="1"/>
  <c r="L70" i="1"/>
  <c r="AF69" i="1"/>
  <c r="S69" i="1"/>
  <c r="P69" i="1"/>
  <c r="N69" i="1"/>
  <c r="L69" i="1"/>
  <c r="AF68" i="1"/>
  <c r="S68" i="1"/>
  <c r="P68" i="1"/>
  <c r="N68" i="1"/>
  <c r="L68" i="1"/>
  <c r="AF67" i="1"/>
  <c r="S67" i="1"/>
  <c r="P67" i="1"/>
  <c r="N67" i="1"/>
  <c r="L67" i="1"/>
  <c r="AF66" i="1"/>
  <c r="S66" i="1"/>
  <c r="P66" i="1"/>
  <c r="N66" i="1"/>
  <c r="L66" i="1"/>
  <c r="AF65" i="1"/>
  <c r="S65" i="1"/>
  <c r="P65" i="1"/>
  <c r="N65" i="1"/>
  <c r="L65" i="1"/>
  <c r="AF64" i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<sst xmlns="http://schemas.openxmlformats.org/spreadsheetml/2006/main" count="1293" uniqueCount="327">
  <si>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</si>
  <si>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</si>
  <si>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</si>
  <si>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</si>
  <si>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</si>
  <si>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</si>
  <si>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</si>
  <si>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</si>
  <si>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</si>
  <si>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</si>
  <si>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</si>
  <si>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</si>
  <si>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</si>
  <si>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</si>
  <si>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</si>
  <si>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</si>
  <si>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</si>
  <si>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</si>
  <si>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</si>
  <si>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</si>
  <si>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</si>
  <si>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</si>
  <si>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</si>
  <si>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</si>
  <si>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</si>
  <si>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</si>
  <si>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</si>
  <si>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</si>
  <si>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</si>
  <si>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</si>
  <si>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</si>
  <si>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</si>
  <si>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</si>
  <si>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</si>
  <si>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K R Market</t>
  </si>
  <si>
    <t>Chamaraja Pete</t>
  </si>
  <si>
    <t>West</t>
  </si>
  <si>
    <t>139-17-000023</t>
  </si>
  <si>
    <t>Providing and laying borewell and water supply facility at Bakshi garden and surrounding area in ward no 139</t>
  </si>
  <si>
    <t>Water &amp; Sanitary</t>
  </si>
  <si>
    <t>K.R.I.D.L</t>
  </si>
  <si>
    <t>P3111</t>
  </si>
  <si>
    <t>State Finance Commission Untied Grant Works</t>
  </si>
  <si>
    <t>ddo205</t>
  </si>
  <si>
    <t xml:space="preserve"> Assistant Executive Engineer Chamarajpet West Zone</t>
  </si>
  <si>
    <t>Pending</t>
  </si>
  <si>
    <t>139-17-000024</t>
  </si>
  <si>
    <t>Providing and laying water supply and SW lane at Jolly Mohalla and surrounding area in ward no 139</t>
  </si>
  <si>
    <t>139-17-000026</t>
  </si>
  <si>
    <t>Providing and laying borewell and water supply facility at Babalane and surrounding area in ward no 139</t>
  </si>
  <si>
    <t>139-17-000027</t>
  </si>
  <si>
    <t>Providing and laying water supply and SW lane in Anandapuram and surrounding area in ward no 139</t>
  </si>
  <si>
    <t>June</t>
  </si>
  <si>
    <t>139-17-000021</t>
  </si>
  <si>
    <t>Providing and laying water supply facilities and SW lane at Velumurgapuram and surrounding area of ward no 139</t>
  </si>
  <si>
    <t>KARNATAKA RURAL INFRASTRUCTURE DEVELOPMENT LTD,</t>
  </si>
  <si>
    <t>139-17-000025</t>
  </si>
  <si>
    <t>Providing and laying water supply facilities and SW lane at Tippunagar and surrounding area in ward no 139</t>
  </si>
  <si>
    <t>139-17-000057</t>
  </si>
  <si>
    <t>Improvements to BBMP Shishuvihara at Ranasingpet in ward no 139</t>
  </si>
  <si>
    <t>Other Ward Works</t>
  </si>
  <si>
    <t xml:space="preserve">KRIDL WEST </t>
  </si>
  <si>
    <t>P3110</t>
  </si>
  <si>
    <t>14th Finance Commission Grant Works</t>
  </si>
  <si>
    <t>Current</t>
  </si>
  <si>
    <t>139-17-000062</t>
  </si>
  <si>
    <t>Engagement of Gangman and Hiring of Tractor Tippers for cleaning and Maintenance of road side drains and other cleaning works in works in ward no 139</t>
  </si>
  <si>
    <t>KRIDL WEST</t>
  </si>
  <si>
    <t>139-17-000061</t>
  </si>
  <si>
    <t>Providing CC Camera at Garbage Block Spots in ward no 139</t>
  </si>
  <si>
    <t>Crime &amp; Safety</t>
  </si>
  <si>
    <t>KRIDL West</t>
  </si>
  <si>
    <t>139-17-000063</t>
  </si>
  <si>
    <t>Providing Modren Dust Bin in Bangalore City in ward no 139</t>
  </si>
  <si>
    <t>139-16-000002</t>
  </si>
  <si>
    <t>Improvements to CC road and Development to toilet at Peer Boundary in Ward No. 139</t>
  </si>
  <si>
    <t>Roads &amp; Drivablility</t>
  </si>
  <si>
    <t>M Francis Contractor</t>
  </si>
  <si>
    <t>P1771</t>
  </si>
  <si>
    <t>Zone Works - POW Works</t>
  </si>
  <si>
    <t>139-18-000075</t>
  </si>
  <si>
    <t xml:space="preserve">Essential Repairs and Maintenance to Toilets at ward Jurisdiction in ward no 139 </t>
  </si>
  <si>
    <t>Health &amp; Sanitation</t>
  </si>
  <si>
    <t>kridl west</t>
  </si>
  <si>
    <t>P3294</t>
  </si>
  <si>
    <t>14th Finance Commission Works - General Public ToiletandSeptage Maintenance</t>
  </si>
  <si>
    <t>139-18-000073</t>
  </si>
  <si>
    <t>Maintenance to Park at CCB Quarters in ward no 139</t>
  </si>
  <si>
    <t>Trees, Parks &amp; Playgrounds</t>
  </si>
  <si>
    <t>P3292</t>
  </si>
  <si>
    <t>14th Finance Commission Works - Community Property Maintenance (including Parks)</t>
  </si>
  <si>
    <t>139-18-000072</t>
  </si>
  <si>
    <t>Maintenance to BBMP Office ward jurisdiction in ward no 139</t>
  </si>
  <si>
    <t>P3291</t>
  </si>
  <si>
    <t>14th Fin  -Maintenance of Cremotorium, Burial Grounds</t>
  </si>
  <si>
    <t>139-18-000078</t>
  </si>
  <si>
    <t>Desilting to secondary and territory drain at ward jurisdiction in ward no 139</t>
  </si>
  <si>
    <t>Footpaths &amp; Walkability</t>
  </si>
  <si>
    <t>P3297</t>
  </si>
  <si>
    <t>14th Finance Commission Grants - SWD Works</t>
  </si>
  <si>
    <t>139-18-000074</t>
  </si>
  <si>
    <t>DRILLING BORE WELL AND WATER SUPPLY WORKS TO TIPPUNAGAR AND SURROUNDING AREA IN WARD NO.139</t>
  </si>
  <si>
    <t>P3293</t>
  </si>
  <si>
    <t>14th Finance Commission Works - Drinking Water</t>
  </si>
  <si>
    <t>139-18-000079</t>
  </si>
  <si>
    <t xml:space="preserve">Improvements to culverts and CC works at ward Jurisdiction in ward no 139 </t>
  </si>
  <si>
    <t>P3298</t>
  </si>
  <si>
    <t>14th Finance Commission Works - SWM Works</t>
  </si>
  <si>
    <t>139-18-000071</t>
  </si>
  <si>
    <t>Providing CC works and maintenance to park at CCB quaters in ward no 139</t>
  </si>
  <si>
    <t>P3290</t>
  </si>
  <si>
    <t>14th Finance Commission Works - Providing Street Lights and Maintenance</t>
  </si>
  <si>
    <t>139-18-000076</t>
  </si>
  <si>
    <t>Providing UGD works at Tippunagar and Mysore road surrounding area in ward no 139</t>
  </si>
  <si>
    <t>P3295</t>
  </si>
  <si>
    <t>14th Finance Commission Works - UGD Works</t>
  </si>
  <si>
    <t>139-18-000077</t>
  </si>
  <si>
    <t>Providing Footpath and other maintenance to Police quarters surrounding area in ward no 139</t>
  </si>
  <si>
    <t>P3296</t>
  </si>
  <si>
    <t>14th Finance Commission Works - Road and Footpath Maintenance</t>
  </si>
  <si>
    <t>July</t>
  </si>
  <si>
    <t>139-17-000042</t>
  </si>
  <si>
    <t>Drilling of borwell and providing water supply at Tippunagar in ward no-139</t>
  </si>
  <si>
    <t>P1802</t>
  </si>
  <si>
    <t>Water Supply New Areas</t>
  </si>
  <si>
    <t>Spill Over</t>
  </si>
  <si>
    <t>139-17-000043</t>
  </si>
  <si>
    <t>Drilling of borwell and providing water supply to Bakshi garden in ward no-139</t>
  </si>
  <si>
    <t xml:space="preserve"> K.R.I.D.L</t>
  </si>
  <si>
    <t>139-17-000012</t>
  </si>
  <si>
    <t>Drilling new borewell and pipeline at Jolly Masjid road surrounding area of ward no 139</t>
  </si>
  <si>
    <t>K.R.I.D.L.</t>
  </si>
  <si>
    <t>P2178</t>
  </si>
  <si>
    <t>Works sanctioned by Dy. Mayor</t>
  </si>
  <si>
    <t>139-17-000011</t>
  </si>
  <si>
    <t>Drilling new borewell and pipeline at Velumurugapuram surrounding area of ward no 139</t>
  </si>
  <si>
    <t>139-17-000004</t>
  </si>
  <si>
    <t>Construction of BBMP Shoping complex at Bandimutt ward 139</t>
  </si>
  <si>
    <t>N.DHANARAJ</t>
  </si>
  <si>
    <t>P0190</t>
  </si>
  <si>
    <t>Works sanctioned by Hon Mayor</t>
  </si>
  <si>
    <t>139-16-000001</t>
  </si>
  <si>
    <t>Improvements to CC drain and Development work to Toilets at Saw Mill compound in Ward No. 139</t>
  </si>
  <si>
    <t>A.Murthy,</t>
  </si>
  <si>
    <t>139-13-000020</t>
  </si>
  <si>
    <t>Providing Electrical maintenance of K.R Market in ward no 139</t>
  </si>
  <si>
    <t>Sri Sai Electricals</t>
  </si>
  <si>
    <t>P0294</t>
  </si>
  <si>
    <t>M and R to Electrical Inst in BMP Buildings, Schools, M.Homes, Community Halls, Markets and Others</t>
  </si>
  <si>
    <t>ddo209</t>
  </si>
  <si>
    <t xml:space="preserve"> Assistant Executive Engineer Electrical West Zone</t>
  </si>
  <si>
    <t>139-18-000011</t>
  </si>
  <si>
    <t>Providing street light LED fittings with control switches and allied accessories in S K R Market area in ward no 139</t>
  </si>
  <si>
    <t>Executive Engineer KRIDL</t>
  </si>
  <si>
    <t>August</t>
  </si>
  <si>
    <t>139-14-000015</t>
  </si>
  <si>
    <t>Annual Maintenance of Engaging Private Gangman and Tractor for the year 2013-14 in Ward No. 139 1st shift 6.00am (Two Shifts) to 2.00pm</t>
  </si>
  <si>
    <t>KRIDL</t>
  </si>
  <si>
    <t>September</t>
  </si>
  <si>
    <t>139-17-000007</t>
  </si>
  <si>
    <t>Improvements to drain and footpath in ward no 139 sulthan road surrounding area</t>
  </si>
  <si>
    <t>139-17-000005</t>
  </si>
  <si>
    <t>Improvements to drain and footpath in ward no 139 cottonpet main road, Bakshigarden surrounding areas in ward no 139</t>
  </si>
  <si>
    <t>139-17-000008</t>
  </si>
  <si>
    <t>Drilling new borewell and pipeline at bandi mood surrounding area of ward no 139</t>
  </si>
  <si>
    <t>139-17-000013</t>
  </si>
  <si>
    <t>Drilling new borewell and pipeline at Bakshi garden surrounding area of ward no 139</t>
  </si>
  <si>
    <t>139-17-000001</t>
  </si>
  <si>
    <t>Repair works of Sky light roofing at North and East side (2Nos) of Sri Krishna Rajendra market Complex in ward no 139</t>
  </si>
  <si>
    <t>P0462</t>
  </si>
  <si>
    <t>M and R of BMP Buildings other than Mkts, Health, Edu, including Swimming Pools</t>
  </si>
  <si>
    <t>139-17-000002</t>
  </si>
  <si>
    <t>Repair works of Sky light roofing at South and Western side (2Nos) of Sri Krishna Rajendra market Complex in ward no 139</t>
  </si>
  <si>
    <t>139-18-000010</t>
  </si>
  <si>
    <t>Providing street light LED fittings with control switches and allied accessories in flyover in ward no 139</t>
  </si>
  <si>
    <t>139-16-000021</t>
  </si>
  <si>
    <t>Providing poles, LED fittings, cable control switch etc., at ward no 139</t>
  </si>
  <si>
    <t>the Technical Manager</t>
  </si>
  <si>
    <t>October</t>
  </si>
  <si>
    <t>139-17-000033</t>
  </si>
  <si>
    <t xml:space="preserve">Improvements to K.P. Lane, M.S. Lane (CC roads) in Jally Mohalla and Surrounding area in Ward No. 139 </t>
  </si>
  <si>
    <t>Shivmadaiah</t>
  </si>
  <si>
    <t>139-17-000034</t>
  </si>
  <si>
    <t xml:space="preserve">Improvements to C.M. Lane, H. Ramaiah Lane (CC roads) in Jally Mohalla and Surrounding area in Ward No. 139 </t>
  </si>
  <si>
    <t>November</t>
  </si>
  <si>
    <t>139-18-000017</t>
  </si>
  <si>
    <t>Providing Borewell 4th and 5th main road at Tippunagar in ward no 139</t>
  </si>
  <si>
    <t>P3322</t>
  </si>
  <si>
    <t>Special Development works at Ward No. 32, 50, 60, 63, 67, 69, 80, 113, 122, 136, 139, 145 Rs.4. Cr each</t>
  </si>
  <si>
    <t>139-18-000021</t>
  </si>
  <si>
    <t>Providing Borewell to Behind Durga at Anandapuram in ward no 139</t>
  </si>
  <si>
    <t>139-18-000028</t>
  </si>
  <si>
    <t>Providing Borewell at Velmurugapuram in ward no 139</t>
  </si>
  <si>
    <t>139-18-000019</t>
  </si>
  <si>
    <t>Providing Borewell to Behind darga at Tippunagar in ward no 139</t>
  </si>
  <si>
    <t>139-18-000025</t>
  </si>
  <si>
    <t>Providing water supply works at Babalane in ward no 139</t>
  </si>
  <si>
    <t>139-18-000030</t>
  </si>
  <si>
    <t>Providing Borewell and Water supply to Ranasinghpet in ward no 139</t>
  </si>
  <si>
    <t>139-18-000018</t>
  </si>
  <si>
    <t>Providing Borewell at 1st and 2nd cross at Tippunagar in ward no 139</t>
  </si>
  <si>
    <t>139-18-000016</t>
  </si>
  <si>
    <t>Providing Borewell to Abbas galli at Tippunagar in ward no 139</t>
  </si>
  <si>
    <t>139-18-000022</t>
  </si>
  <si>
    <t>Providing Borewell to Behind Ambedkar Statue at Anandapuram in ward no 139</t>
  </si>
  <si>
    <t>139-18-000080</t>
  </si>
  <si>
    <t>Providing rain water harvesting at BBMP Shishuvihara and surrounding areas in ward no 139</t>
  </si>
  <si>
    <t>Rain Water Harvestin</t>
  </si>
  <si>
    <t>P3273</t>
  </si>
  <si>
    <t>Rain water Harvesting in BBMP Schools and College buildings</t>
  </si>
  <si>
    <t>139-18-000090</t>
  </si>
  <si>
    <t>Comprehensive development works in Indira canteen in ward no 139</t>
  </si>
  <si>
    <t>Indira Canteen</t>
  </si>
  <si>
    <t>P3106</t>
  </si>
  <si>
    <t>Nagarothana Works</t>
  </si>
  <si>
    <t>December</t>
  </si>
  <si>
    <t>139-16-000011</t>
  </si>
  <si>
    <t>Providing potholes filling to CC road at Balekai mandi and BVK iyengar road in ward No.139</t>
  </si>
  <si>
    <t>M S Venkatesh</t>
  </si>
  <si>
    <t>139-13-000026</t>
  </si>
  <si>
    <t>Providing Asphalting concrete to Avenue road from Market circle to O.T. pet cross and surrounding in ward No 139</t>
  </si>
  <si>
    <t>P2201</t>
  </si>
  <si>
    <t>Assembly Constituency Development Works under BBMP</t>
  </si>
  <si>
    <t>139-13-000027</t>
  </si>
  <si>
    <t>Providing asphalting concrete to mysore road ( north side) from K.R. market circle to A.S. char street cross in ward No 139</t>
  </si>
  <si>
    <t>139-13-000029</t>
  </si>
  <si>
    <t>Providing asphalting concrete to south side of Mysore road from K.R. market circle upto N.T. pet 3rd main road in ward No 139</t>
  </si>
  <si>
    <t>139-13-000030</t>
  </si>
  <si>
    <t>Providing asphalting concrete to 2nd and 4th cross road chamarajpet in ward No 139</t>
  </si>
  <si>
    <t xml:space="preserve">KRIDL </t>
  </si>
  <si>
    <t>139-13-000028</t>
  </si>
  <si>
    <t>Providing asphalting concrete from Minto Eye Hospital to Royan circle in ward No 139</t>
  </si>
  <si>
    <t>139-14-000025</t>
  </si>
  <si>
    <t xml:space="preserve">Improvements of damaged CC Road at Basid Sarai road and crosses in Ward No. 139 </t>
  </si>
  <si>
    <t>Aishwarya infrastructure &amp; Developers</t>
  </si>
  <si>
    <t>139-14-000022</t>
  </si>
  <si>
    <t xml:space="preserve">Providing SS Slabs to side drain at Anandapuram in Ward No. 139 </t>
  </si>
  <si>
    <t>Aishwarya Infrastructure &amp; Developers</t>
  </si>
  <si>
    <t>139-13-000025</t>
  </si>
  <si>
    <t xml:space="preserve">Providing asphalting concrete to mysore road ( north side) from A.S. char street junction to T.C.M. road in ward No 139 </t>
  </si>
  <si>
    <t>139-15-000017</t>
  </si>
  <si>
    <t xml:space="preserve">Improvements to CC Road Providing Kerbstones at Puttannagalli 2nd and 3rd cross in ward no 139 </t>
  </si>
  <si>
    <t>N Sampath Kumar</t>
  </si>
  <si>
    <t>139-17-000031</t>
  </si>
  <si>
    <t>Improvements to Main Roads (CC roads) in Tippunagar and surrounding area in Ward No. 139</t>
  </si>
  <si>
    <t>139-17-000036</t>
  </si>
  <si>
    <t>Improvements to footpath and providing Steel railings at Jally Masjid surrounding area in Ward No. 139</t>
  </si>
  <si>
    <t>139-17-000032</t>
  </si>
  <si>
    <t>Improvements to Cross roads (CC roads) and Conservency lanes in Tippunagar and surrounding area in Ward No. 139</t>
  </si>
  <si>
    <t>January</t>
  </si>
  <si>
    <t>139-17-000054</t>
  </si>
  <si>
    <t>Consultancy Services for Construction Supervision Project Management and Quality Control for the work of GOK (P-3158 SIP) 2016-17 &amp; 2017-18 in Chamarajpet Division West Zone (Package-07).</t>
  </si>
  <si>
    <t>M/s.Civil Quality Consultants &amp; Engineers</t>
  </si>
  <si>
    <t>P3158</t>
  </si>
  <si>
    <t>SIP Infrastructure Project works</t>
  </si>
  <si>
    <t>139-17-000046</t>
  </si>
  <si>
    <t>Providing Consultancy Services for Construction supervision, Project Management and Quality Control for the works of GOK (P-3158 SIP) 2016-17 &amp; 2017-18 in Chamarajpet Division West Zone (Package -06).</t>
  </si>
  <si>
    <t>139-17-000101</t>
  </si>
  <si>
    <t>Essential Repair and Improvements to Tippunagar Gym building in ward no 139</t>
  </si>
  <si>
    <t>Public Amenities</t>
  </si>
  <si>
    <t>139-18-000027</t>
  </si>
  <si>
    <t>Providing Borewell at Mini Bakshigarden in ward no 139</t>
  </si>
  <si>
    <t>139-17-000045</t>
  </si>
  <si>
    <t>Comprehensive Development of footpath and CC Road at PVR road in ward no 139</t>
  </si>
  <si>
    <t xml:space="preserve">M S VENKATESH </t>
  </si>
  <si>
    <t>February</t>
  </si>
  <si>
    <t>139-18-000006</t>
  </si>
  <si>
    <t>Repair and Maintenance to BBMP Urinals at Bashyam road in ward no 139</t>
  </si>
  <si>
    <t>P0488</t>
  </si>
  <si>
    <t>Construction and Improvements to (Existing, Shifting and Upgradatio - Urinals Toilets,  Dhobighats)</t>
  </si>
  <si>
    <t>139-18-000059</t>
  </si>
  <si>
    <t>Providing Rainwater Harvesting to BBMP Samudhaya Bhavana at Bakshigarden in ward no 139</t>
  </si>
  <si>
    <t>P3247</t>
  </si>
  <si>
    <t>Providing Rain water Harvesting in BBMP Buildings</t>
  </si>
  <si>
    <t>139-18-000057</t>
  </si>
  <si>
    <t>Providing Rainwater Harvesting at K R Market old building in ward no 139</t>
  </si>
  <si>
    <t>139-18-000058</t>
  </si>
  <si>
    <t>Providing Rainwater Harvesting at K R Market New building in ward no 139</t>
  </si>
  <si>
    <t>139-18-000087</t>
  </si>
  <si>
    <t>Providing water supply connection at ward juridiction in ward no-139</t>
  </si>
  <si>
    <t>139-18-000060</t>
  </si>
  <si>
    <t>Providing Rainwater Harvesting to BBMP Multipurpose building at Bakshigarden in ward no 139</t>
  </si>
  <si>
    <t>139-18-000106</t>
  </si>
  <si>
    <t>Providing water supply connections at Bhakshi garden in ward no 139</t>
  </si>
  <si>
    <t>139-17-000114</t>
  </si>
  <si>
    <t>Essential Repairs and Maintenance to BBMP building Tailoring and Computer Centre at Ranasingh Pet in ward no 139</t>
  </si>
  <si>
    <t>P0247</t>
  </si>
  <si>
    <t>M and R to Play Equipments Football, Volleyball and Ball Badminton gole posts</t>
  </si>
  <si>
    <t>139-18-000088</t>
  </si>
  <si>
    <t>Providing Water Supply works at BBMP Shishuvihara Ranasinghpet and surrounding areas in ward no 139</t>
  </si>
  <si>
    <t>P3267</t>
  </si>
  <si>
    <t>Installation of R.O. Plants in Schools and Colleges</t>
  </si>
  <si>
    <t>139-18-000086</t>
  </si>
  <si>
    <t xml:space="preserve">Repaire and Maintenance to Existing community hall at Bakshigarden in ward no 139 </t>
  </si>
  <si>
    <t>P3241</t>
  </si>
  <si>
    <t>Maintenance of Existing Community Halls  Core areas</t>
  </si>
  <si>
    <t>139-18-000104</t>
  </si>
  <si>
    <t>Providing water supply works at Jollymohalla BBMP Complex in ward no 139</t>
  </si>
  <si>
    <t>139-18-000008</t>
  </si>
  <si>
    <t>Repair and Maintenance to BBMP Library in at Bakshi garden in ward no 139</t>
  </si>
  <si>
    <t>P0975</t>
  </si>
  <si>
    <t>Const and Impts to edu bldg incl water and electrical connections to Schools / Lib / R Room</t>
  </si>
  <si>
    <t>139-18-000005</t>
  </si>
  <si>
    <t>Repair and Maintenance to BBMP Urinals at TCM Royan road in ward no 139</t>
  </si>
  <si>
    <t>139-18-000105</t>
  </si>
  <si>
    <t>Supplying drinking water through water tankers in ward no 139</t>
  </si>
  <si>
    <t>Drinking Water</t>
  </si>
  <si>
    <t>139-15-000014</t>
  </si>
  <si>
    <t xml:space="preserve">Improveemnts to CC road at Jubliee saw mill compound in ward no 139 </t>
  </si>
  <si>
    <t>139-15-000022</t>
  </si>
  <si>
    <t xml:space="preserve">Improvments to drain and cc roads at Anandapuram 2nd main road in ward no 139 </t>
  </si>
  <si>
    <t>139-18-000007</t>
  </si>
  <si>
    <t>Repair and Maintenance to BBMP Urinals at Tippunagar road in ward no 139</t>
  </si>
  <si>
    <t>March</t>
  </si>
  <si>
    <t>139-17-000100</t>
  </si>
  <si>
    <t>Providing Multi purpose Gym Equipments and Other Materials to Tippunagar Gym in ward no 139</t>
  </si>
  <si>
    <t>139-18-000089</t>
  </si>
  <si>
    <t>Providing fire safety equipments to BBMP school at ward no 139 and(Other CC Works)</t>
  </si>
  <si>
    <t>P3264</t>
  </si>
  <si>
    <t>Providing Fire safety equipments in BBMP Schools and Colleges</t>
  </si>
  <si>
    <t>139-18-000107</t>
  </si>
  <si>
    <t>Providing water supply connections in ward areas in ward no 139</t>
  </si>
  <si>
    <t>139-17-000113</t>
  </si>
  <si>
    <t>Essential Repairs and Maintenance to BBMP Shishuvihara building in ward no 139</t>
  </si>
  <si>
    <t>139-18-000094</t>
  </si>
  <si>
    <t xml:space="preserve">Reapairs and maintenance existing borewell and water supply works in ward no 139 </t>
  </si>
  <si>
    <t>KRIDL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</si>
</sst>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1"/>
  <sheetViews>
    <sheetView tabSelected="1" workbookViewId="0">
      <pane ySplit="1" topLeftCell="A2" activePane="bottomLeft" state="frozen"/>
      <selection activeCell="H1" sqref="H1"/>
      <selection pane="bottomLeft" activeCell="A2" sqref="A2:XFD91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120</v>
      </c>
      <c r="B2" s="9" t="s">
        <v>33</v>
      </c>
      <c r="C2" s="10">
        <v>43194</v>
      </c>
      <c r="D2" s="11">
        <v>139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"000242"</f>
        <v>000242</v>
      </c>
      <c r="M2" s="10">
        <v>43169</v>
      </c>
      <c r="N2" s="11" t="str">
        <f>"000155"</f>
        <v>000155</v>
      </c>
      <c r="O2" s="10">
        <v>43169</v>
      </c>
      <c r="P2" s="11" t="str">
        <f>"000234"</f>
        <v>000234</v>
      </c>
      <c r="Q2" s="10">
        <v>43171</v>
      </c>
      <c r="R2" s="11">
        <v>17</v>
      </c>
      <c r="S2" s="11" t="str">
        <f>"000152"</f>
        <v>000152</v>
      </c>
      <c r="T2" s="10">
        <v>43193</v>
      </c>
      <c r="U2" s="14">
        <v>19.6311</v>
      </c>
      <c r="V2" s="14">
        <v>1.8769400000000001</v>
      </c>
      <c r="W2" s="14">
        <v>17.754159999999999</v>
      </c>
      <c r="X2" s="11">
        <v>2</v>
      </c>
      <c r="Y2" s="10">
        <v>43194</v>
      </c>
      <c r="Z2" s="11">
        <v>7975732118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0.19631100000000001</v>
      </c>
      <c r="AG2" s="11" t="s">
        <v>45</v>
      </c>
    </row>
    <row r="3" spans="1:33" x14ac:dyDescent="0.2">
      <c r="A3" s="8">
        <v>311</v>
      </c>
      <c r="B3" s="9" t="s">
        <v>33</v>
      </c>
      <c r="C3" s="10">
        <v>43199</v>
      </c>
      <c r="D3" s="11">
        <v>139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"000241"</f>
        <v>000241</v>
      </c>
      <c r="M3" s="10">
        <v>43169</v>
      </c>
      <c r="N3" s="11" t="str">
        <f>"000156"</f>
        <v>000156</v>
      </c>
      <c r="O3" s="10">
        <v>43169</v>
      </c>
      <c r="P3" s="11" t="str">
        <f>"000235"</f>
        <v>000235</v>
      </c>
      <c r="Q3" s="10">
        <v>43171</v>
      </c>
      <c r="R3" s="11">
        <v>17</v>
      </c>
      <c r="S3" s="11" t="str">
        <f>"000364"</f>
        <v>000364</v>
      </c>
      <c r="T3" s="10">
        <v>43196</v>
      </c>
      <c r="U3" s="14">
        <v>17.484660000000002</v>
      </c>
      <c r="V3" s="14">
        <v>1.6710199999999999</v>
      </c>
      <c r="W3" s="14">
        <v>15.813639999999999</v>
      </c>
      <c r="X3" s="11">
        <v>8</v>
      </c>
      <c r="Y3" s="10">
        <v>43199</v>
      </c>
      <c r="Z3" s="11">
        <v>7975773118</v>
      </c>
      <c r="AA3" s="12" t="s">
        <v>40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0.17484660000000002</v>
      </c>
      <c r="AG3" s="11" t="s">
        <v>45</v>
      </c>
    </row>
    <row r="4" spans="1:33" x14ac:dyDescent="0.2">
      <c r="A4" s="8">
        <v>312</v>
      </c>
      <c r="B4" s="9" t="s">
        <v>33</v>
      </c>
      <c r="C4" s="10">
        <v>43199</v>
      </c>
      <c r="D4" s="11">
        <v>139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48</v>
      </c>
      <c r="J4" s="12" t="s">
        <v>49</v>
      </c>
      <c r="K4" s="13" t="s">
        <v>39</v>
      </c>
      <c r="L4" s="11" t="str">
        <f>"000230"</f>
        <v>000230</v>
      </c>
      <c r="M4" s="10">
        <v>43158</v>
      </c>
      <c r="N4" s="11" t="str">
        <f>"000146"</f>
        <v>000146</v>
      </c>
      <c r="O4" s="10">
        <v>43158</v>
      </c>
      <c r="P4" s="11" t="str">
        <f>"000224"</f>
        <v>000224</v>
      </c>
      <c r="Q4" s="10">
        <v>43160</v>
      </c>
      <c r="R4" s="11">
        <v>17</v>
      </c>
      <c r="S4" s="11" t="str">
        <f>"000365"</f>
        <v>000365</v>
      </c>
      <c r="T4" s="10">
        <v>43196</v>
      </c>
      <c r="U4" s="14">
        <v>14.77117</v>
      </c>
      <c r="V4" s="14">
        <v>1.3986700000000001</v>
      </c>
      <c r="W4" s="14">
        <v>13.3725</v>
      </c>
      <c r="X4" s="11">
        <v>8</v>
      </c>
      <c r="Y4" s="10">
        <v>43199</v>
      </c>
      <c r="Z4" s="11">
        <v>7975732118</v>
      </c>
      <c r="AA4" s="12" t="s">
        <v>40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0.1477117</v>
      </c>
      <c r="AG4" s="11" t="s">
        <v>45</v>
      </c>
    </row>
    <row r="5" spans="1:33" x14ac:dyDescent="0.2">
      <c r="A5" s="8">
        <v>548</v>
      </c>
      <c r="B5" s="9" t="s">
        <v>33</v>
      </c>
      <c r="C5" s="10">
        <v>43203</v>
      </c>
      <c r="D5" s="11">
        <v>139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50</v>
      </c>
      <c r="J5" s="12" t="s">
        <v>51</v>
      </c>
      <c r="K5" s="13" t="s">
        <v>39</v>
      </c>
      <c r="L5" s="11" t="str">
        <f>"000231"</f>
        <v>000231</v>
      </c>
      <c r="M5" s="10">
        <v>43158</v>
      </c>
      <c r="N5" s="11" t="str">
        <f>"000147"</f>
        <v>000147</v>
      </c>
      <c r="O5" s="10">
        <v>43158</v>
      </c>
      <c r="P5" s="11" t="str">
        <f>"000225"</f>
        <v>000225</v>
      </c>
      <c r="Q5" s="10">
        <v>43160</v>
      </c>
      <c r="R5" s="11">
        <v>17</v>
      </c>
      <c r="S5" s="11" t="str">
        <f>"000473"</f>
        <v>000473</v>
      </c>
      <c r="T5" s="10">
        <v>43201</v>
      </c>
      <c r="U5" s="14">
        <v>14.244020000000001</v>
      </c>
      <c r="V5" s="14">
        <v>1.34893</v>
      </c>
      <c r="W5" s="14">
        <v>12.89509</v>
      </c>
      <c r="X5" s="11">
        <v>16</v>
      </c>
      <c r="Y5" s="10">
        <v>43203</v>
      </c>
      <c r="Z5" s="11">
        <v>7975732118</v>
      </c>
      <c r="AA5" s="12" t="s">
        <v>40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0.14244020000000002</v>
      </c>
      <c r="AG5" s="11" t="s">
        <v>45</v>
      </c>
    </row>
    <row r="6" spans="1:33" x14ac:dyDescent="0.2">
      <c r="A6" s="8">
        <v>1878</v>
      </c>
      <c r="B6" s="9" t="s">
        <v>52</v>
      </c>
      <c r="C6" s="10">
        <v>43257</v>
      </c>
      <c r="D6" s="11">
        <v>139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53</v>
      </c>
      <c r="J6" s="12" t="s">
        <v>54</v>
      </c>
      <c r="K6" s="13" t="s">
        <v>39</v>
      </c>
      <c r="L6" s="11" t="str">
        <f>"000243"</f>
        <v>000243</v>
      </c>
      <c r="M6" s="10">
        <v>43170</v>
      </c>
      <c r="N6" s="11" t="str">
        <f>"000157"</f>
        <v>000157</v>
      </c>
      <c r="O6" s="10">
        <v>43171</v>
      </c>
      <c r="P6" s="11" t="str">
        <f>"000233"</f>
        <v>000233</v>
      </c>
      <c r="Q6" s="10">
        <v>43171</v>
      </c>
      <c r="R6" s="11">
        <v>17</v>
      </c>
      <c r="S6" s="11" t="str">
        <f>"002074"</f>
        <v>002074</v>
      </c>
      <c r="T6" s="10">
        <v>43250</v>
      </c>
      <c r="U6" s="14">
        <v>13.18473</v>
      </c>
      <c r="V6" s="14">
        <v>1.1834100000000001</v>
      </c>
      <c r="W6" s="14">
        <v>12.00132</v>
      </c>
      <c r="X6" s="11">
        <v>73</v>
      </c>
      <c r="Y6" s="10">
        <v>43257</v>
      </c>
      <c r="Z6" s="11">
        <v>7975732118</v>
      </c>
      <c r="AA6" s="12" t="s">
        <v>55</v>
      </c>
      <c r="AB6" s="11" t="s">
        <v>41</v>
      </c>
      <c r="AC6" s="12" t="s">
        <v>42</v>
      </c>
      <c r="AD6" s="11" t="s">
        <v>43</v>
      </c>
      <c r="AE6" s="12" t="s">
        <v>44</v>
      </c>
      <c r="AF6" s="14">
        <v>0.1318473</v>
      </c>
      <c r="AG6" s="11" t="s">
        <v>45</v>
      </c>
    </row>
    <row r="7" spans="1:33" x14ac:dyDescent="0.2">
      <c r="A7" s="8">
        <v>1879</v>
      </c>
      <c r="B7" s="9" t="s">
        <v>52</v>
      </c>
      <c r="C7" s="10">
        <v>43257</v>
      </c>
      <c r="D7" s="11">
        <v>139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56</v>
      </c>
      <c r="J7" s="12" t="s">
        <v>57</v>
      </c>
      <c r="K7" s="13" t="s">
        <v>39</v>
      </c>
      <c r="L7" s="11" t="str">
        <f>"000237"</f>
        <v>000237</v>
      </c>
      <c r="M7" s="10">
        <v>43163</v>
      </c>
      <c r="N7" s="11" t="str">
        <f>"000153"</f>
        <v>000153</v>
      </c>
      <c r="O7" s="10">
        <v>43164</v>
      </c>
      <c r="P7" s="11" t="str">
        <f>"000231"</f>
        <v>000231</v>
      </c>
      <c r="Q7" s="10">
        <v>43165</v>
      </c>
      <c r="R7" s="11">
        <v>17</v>
      </c>
      <c r="S7" s="11" t="str">
        <f>"002094"</f>
        <v>002094</v>
      </c>
      <c r="T7" s="10">
        <v>43251</v>
      </c>
      <c r="U7" s="14">
        <v>17.194859999999998</v>
      </c>
      <c r="V7" s="14">
        <v>1.6414800000000001</v>
      </c>
      <c r="W7" s="14">
        <v>15.553380000000001</v>
      </c>
      <c r="X7" s="11">
        <v>73</v>
      </c>
      <c r="Y7" s="10">
        <v>43257</v>
      </c>
      <c r="Z7" s="11">
        <v>7975732118</v>
      </c>
      <c r="AA7" s="12" t="s">
        <v>55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0.17194859999999998</v>
      </c>
      <c r="AG7" s="11" t="s">
        <v>45</v>
      </c>
    </row>
    <row r="8" spans="1:33" x14ac:dyDescent="0.2">
      <c r="A8" s="8">
        <v>1985</v>
      </c>
      <c r="B8" s="9" t="s">
        <v>52</v>
      </c>
      <c r="C8" s="10">
        <v>43258</v>
      </c>
      <c r="D8" s="11">
        <v>139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58</v>
      </c>
      <c r="J8" s="12" t="s">
        <v>59</v>
      </c>
      <c r="K8" s="13" t="s">
        <v>60</v>
      </c>
      <c r="L8" s="11" t="str">
        <f>"000049"</f>
        <v>000049</v>
      </c>
      <c r="M8" s="10">
        <v>43217</v>
      </c>
      <c r="N8" s="11" t="str">
        <f>"000035"</f>
        <v>000035</v>
      </c>
      <c r="O8" s="10">
        <v>43217</v>
      </c>
      <c r="P8" s="11" t="str">
        <f>"000049"</f>
        <v>000049</v>
      </c>
      <c r="Q8" s="10">
        <v>43218</v>
      </c>
      <c r="R8" s="11">
        <v>17</v>
      </c>
      <c r="S8" s="11" t="str">
        <f>"002236"</f>
        <v>002236</v>
      </c>
      <c r="T8" s="10">
        <v>43257</v>
      </c>
      <c r="U8" s="14">
        <v>9.9989899999999992</v>
      </c>
      <c r="V8" s="14">
        <v>0.92989999999999995</v>
      </c>
      <c r="W8" s="14">
        <v>9.0690899999999992</v>
      </c>
      <c r="X8" s="11">
        <v>77</v>
      </c>
      <c r="Y8" s="10">
        <v>43258</v>
      </c>
      <c r="Z8" s="11">
        <v>9916950205</v>
      </c>
      <c r="AA8" s="12" t="s">
        <v>61</v>
      </c>
      <c r="AB8" s="11" t="s">
        <v>62</v>
      </c>
      <c r="AC8" s="12" t="s">
        <v>63</v>
      </c>
      <c r="AD8" s="11" t="s">
        <v>43</v>
      </c>
      <c r="AE8" s="12" t="s">
        <v>44</v>
      </c>
      <c r="AF8" s="14">
        <v>9.9989899999999993E-2</v>
      </c>
      <c r="AG8" s="11" t="s">
        <v>64</v>
      </c>
    </row>
    <row r="9" spans="1:33" x14ac:dyDescent="0.2">
      <c r="A9" s="8">
        <v>1986</v>
      </c>
      <c r="B9" s="9" t="s">
        <v>52</v>
      </c>
      <c r="C9" s="10">
        <v>43258</v>
      </c>
      <c r="D9" s="11">
        <v>139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65</v>
      </c>
      <c r="J9" s="12" t="s">
        <v>66</v>
      </c>
      <c r="K9" s="13" t="s">
        <v>60</v>
      </c>
      <c r="L9" s="11" t="str">
        <f>"000089"</f>
        <v>000089</v>
      </c>
      <c r="M9" s="10">
        <v>43218</v>
      </c>
      <c r="N9" s="11" t="str">
        <f>"000059"</f>
        <v>000059</v>
      </c>
      <c r="O9" s="10">
        <v>43218</v>
      </c>
      <c r="P9" s="11" t="str">
        <f>"000078"</f>
        <v>000078</v>
      </c>
      <c r="Q9" s="10">
        <v>43218</v>
      </c>
      <c r="R9" s="11">
        <v>17</v>
      </c>
      <c r="S9" s="11" t="str">
        <f>"002250"</f>
        <v>002250</v>
      </c>
      <c r="T9" s="10">
        <v>43257</v>
      </c>
      <c r="U9" s="14">
        <v>11.09723</v>
      </c>
      <c r="V9" s="14">
        <v>1.08752</v>
      </c>
      <c r="W9" s="14">
        <v>10.00971</v>
      </c>
      <c r="X9" s="11">
        <v>77</v>
      </c>
      <c r="Y9" s="10">
        <v>43258</v>
      </c>
      <c r="Z9" s="11">
        <v>9916950205</v>
      </c>
      <c r="AA9" s="12" t="s">
        <v>67</v>
      </c>
      <c r="AB9" s="11" t="s">
        <v>62</v>
      </c>
      <c r="AC9" s="12" t="s">
        <v>63</v>
      </c>
      <c r="AD9" s="11" t="s">
        <v>43</v>
      </c>
      <c r="AE9" s="12" t="s">
        <v>44</v>
      </c>
      <c r="AF9" s="14">
        <v>0.1109723</v>
      </c>
      <c r="AG9" s="11" t="s">
        <v>64</v>
      </c>
    </row>
    <row r="10" spans="1:33" x14ac:dyDescent="0.2">
      <c r="A10" s="8">
        <v>1987</v>
      </c>
      <c r="B10" s="9" t="s">
        <v>52</v>
      </c>
      <c r="C10" s="10">
        <v>43258</v>
      </c>
      <c r="D10" s="11">
        <v>139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68</v>
      </c>
      <c r="J10" s="12" t="s">
        <v>69</v>
      </c>
      <c r="K10" s="13" t="s">
        <v>70</v>
      </c>
      <c r="L10" s="11" t="str">
        <f>"000084"</f>
        <v>000084</v>
      </c>
      <c r="M10" s="10">
        <v>43218</v>
      </c>
      <c r="N10" s="11" t="str">
        <f>"000055"</f>
        <v>000055</v>
      </c>
      <c r="O10" s="10">
        <v>43218</v>
      </c>
      <c r="P10" s="11" t="str">
        <f>"000074"</f>
        <v>000074</v>
      </c>
      <c r="Q10" s="10">
        <v>43218</v>
      </c>
      <c r="R10" s="11">
        <v>17</v>
      </c>
      <c r="S10" s="11" t="str">
        <f>"002252"</f>
        <v>002252</v>
      </c>
      <c r="T10" s="10">
        <v>43257</v>
      </c>
      <c r="U10" s="14">
        <v>9.9984300000000008</v>
      </c>
      <c r="V10" s="14">
        <v>0.92984999999999995</v>
      </c>
      <c r="W10" s="14">
        <v>9.0685800000000008</v>
      </c>
      <c r="X10" s="11">
        <v>77</v>
      </c>
      <c r="Y10" s="10">
        <v>43258</v>
      </c>
      <c r="Z10" s="11">
        <v>9916950205</v>
      </c>
      <c r="AA10" s="12" t="s">
        <v>71</v>
      </c>
      <c r="AB10" s="11" t="s">
        <v>62</v>
      </c>
      <c r="AC10" s="12" t="s">
        <v>63</v>
      </c>
      <c r="AD10" s="11" t="s">
        <v>43</v>
      </c>
      <c r="AE10" s="12" t="s">
        <v>44</v>
      </c>
      <c r="AF10" s="14">
        <v>9.9984300000000012E-2</v>
      </c>
      <c r="AG10" s="11" t="s">
        <v>64</v>
      </c>
    </row>
    <row r="11" spans="1:33" x14ac:dyDescent="0.2">
      <c r="A11" s="8">
        <v>2149</v>
      </c>
      <c r="B11" s="9" t="s">
        <v>52</v>
      </c>
      <c r="C11" s="10">
        <v>43265</v>
      </c>
      <c r="D11" s="11">
        <v>139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72</v>
      </c>
      <c r="J11" s="12" t="s">
        <v>73</v>
      </c>
      <c r="K11" s="13" t="s">
        <v>60</v>
      </c>
      <c r="L11" s="11" t="str">
        <f>"000085"</f>
        <v>000085</v>
      </c>
      <c r="M11" s="10">
        <v>43218</v>
      </c>
      <c r="N11" s="11" t="str">
        <f>"000054"</f>
        <v>000054</v>
      </c>
      <c r="O11" s="10">
        <v>43218</v>
      </c>
      <c r="P11" s="11" t="str">
        <f>"000075"</f>
        <v>000075</v>
      </c>
      <c r="Q11" s="10">
        <v>43218</v>
      </c>
      <c r="R11" s="11">
        <v>17</v>
      </c>
      <c r="S11" s="11" t="str">
        <f>"002446"</f>
        <v>002446</v>
      </c>
      <c r="T11" s="10">
        <v>43263</v>
      </c>
      <c r="U11" s="14">
        <v>1.4991000000000001</v>
      </c>
      <c r="V11" s="14">
        <v>0.13941000000000001</v>
      </c>
      <c r="W11" s="14">
        <v>1.3596900000000001</v>
      </c>
      <c r="X11" s="11">
        <v>84</v>
      </c>
      <c r="Y11" s="10">
        <v>43265</v>
      </c>
      <c r="Z11" s="11">
        <v>9916950205</v>
      </c>
      <c r="AA11" s="12" t="s">
        <v>71</v>
      </c>
      <c r="AB11" s="11" t="s">
        <v>62</v>
      </c>
      <c r="AC11" s="12" t="s">
        <v>63</v>
      </c>
      <c r="AD11" s="11" t="s">
        <v>43</v>
      </c>
      <c r="AE11" s="12" t="s">
        <v>44</v>
      </c>
      <c r="AF11" s="14">
        <v>1.4991000000000001E-2</v>
      </c>
      <c r="AG11" s="11" t="s">
        <v>64</v>
      </c>
    </row>
    <row r="12" spans="1:33" x14ac:dyDescent="0.2">
      <c r="A12" s="8">
        <v>2360</v>
      </c>
      <c r="B12" s="9" t="s">
        <v>52</v>
      </c>
      <c r="C12" s="10">
        <v>43269</v>
      </c>
      <c r="D12" s="11">
        <v>139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74</v>
      </c>
      <c r="J12" s="12" t="s">
        <v>75</v>
      </c>
      <c r="K12" s="13" t="s">
        <v>76</v>
      </c>
      <c r="L12" s="11" t="str">
        <f>"000054"</f>
        <v>000054</v>
      </c>
      <c r="M12" s="10">
        <v>42601</v>
      </c>
      <c r="N12" s="11" t="str">
        <f>"000028"</f>
        <v>000028</v>
      </c>
      <c r="O12" s="10">
        <v>42622</v>
      </c>
      <c r="P12" s="11" t="str">
        <f>"000527"</f>
        <v>000527</v>
      </c>
      <c r="Q12" s="10">
        <v>42635</v>
      </c>
      <c r="R12" s="11">
        <v>16</v>
      </c>
      <c r="S12" s="11" t="str">
        <f>"002403"</f>
        <v>002403</v>
      </c>
      <c r="T12" s="10">
        <v>43262</v>
      </c>
      <c r="U12" s="14">
        <v>6.97994</v>
      </c>
      <c r="V12" s="14">
        <v>0.87731999999999999</v>
      </c>
      <c r="W12" s="14">
        <v>6.1026199999999999</v>
      </c>
      <c r="X12" s="11">
        <v>90</v>
      </c>
      <c r="Y12" s="10">
        <v>43269</v>
      </c>
      <c r="Z12" s="11">
        <v>9343652178</v>
      </c>
      <c r="AA12" s="12" t="s">
        <v>77</v>
      </c>
      <c r="AB12" s="11" t="s">
        <v>78</v>
      </c>
      <c r="AC12" s="12" t="s">
        <v>79</v>
      </c>
      <c r="AD12" s="11" t="s">
        <v>43</v>
      </c>
      <c r="AE12" s="12" t="s">
        <v>44</v>
      </c>
      <c r="AF12" s="14">
        <v>6.9799399999999998E-2</v>
      </c>
      <c r="AG12" s="11" t="s">
        <v>45</v>
      </c>
    </row>
    <row r="13" spans="1:33" x14ac:dyDescent="0.2">
      <c r="A13" s="8">
        <v>2410</v>
      </c>
      <c r="B13" s="9" t="s">
        <v>52</v>
      </c>
      <c r="C13" s="10">
        <v>43271</v>
      </c>
      <c r="D13" s="11">
        <v>139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80</v>
      </c>
      <c r="J13" s="12" t="s">
        <v>81</v>
      </c>
      <c r="K13" s="13" t="s">
        <v>82</v>
      </c>
      <c r="L13" s="11" t="str">
        <f>"000221"</f>
        <v>000221</v>
      </c>
      <c r="M13" s="10">
        <v>43154</v>
      </c>
      <c r="N13" s="11" t="str">
        <f>"000145"</f>
        <v>000145</v>
      </c>
      <c r="O13" s="10">
        <v>43154</v>
      </c>
      <c r="P13" s="11" t="str">
        <f>"000212"</f>
        <v>000212</v>
      </c>
      <c r="Q13" s="10">
        <v>43154</v>
      </c>
      <c r="R13" s="11">
        <v>18</v>
      </c>
      <c r="S13" s="11" t="str">
        <f>"002713"</f>
        <v>002713</v>
      </c>
      <c r="T13" s="10">
        <v>43270</v>
      </c>
      <c r="U13" s="14">
        <v>4.9963699999999998</v>
      </c>
      <c r="V13" s="14">
        <v>0.46466000000000002</v>
      </c>
      <c r="W13" s="14">
        <v>4.5317100000000003</v>
      </c>
      <c r="X13" s="11">
        <v>97</v>
      </c>
      <c r="Y13" s="10">
        <v>43271</v>
      </c>
      <c r="Z13" s="11">
        <v>9916950205</v>
      </c>
      <c r="AA13" s="12" t="s">
        <v>83</v>
      </c>
      <c r="AB13" s="11" t="s">
        <v>84</v>
      </c>
      <c r="AC13" s="12" t="s">
        <v>85</v>
      </c>
      <c r="AD13" s="11" t="s">
        <v>43</v>
      </c>
      <c r="AE13" s="12" t="s">
        <v>44</v>
      </c>
      <c r="AF13" s="14">
        <v>4.99637E-2</v>
      </c>
      <c r="AG13" s="11" t="s">
        <v>45</v>
      </c>
    </row>
    <row r="14" spans="1:33" x14ac:dyDescent="0.2">
      <c r="A14" s="8">
        <v>2411</v>
      </c>
      <c r="B14" s="9" t="s">
        <v>52</v>
      </c>
      <c r="C14" s="10">
        <v>43271</v>
      </c>
      <c r="D14" s="11">
        <v>139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86</v>
      </c>
      <c r="J14" s="12" t="s">
        <v>87</v>
      </c>
      <c r="K14" s="13" t="s">
        <v>88</v>
      </c>
      <c r="L14" s="11" t="str">
        <f>"000195"</f>
        <v>000195</v>
      </c>
      <c r="M14" s="10">
        <v>43150</v>
      </c>
      <c r="N14" s="11" t="str">
        <f>"000121"</f>
        <v>000121</v>
      </c>
      <c r="O14" s="10">
        <v>43151</v>
      </c>
      <c r="P14" s="11" t="str">
        <f>"000184"</f>
        <v>000184</v>
      </c>
      <c r="Q14" s="10">
        <v>43151</v>
      </c>
      <c r="R14" s="11">
        <v>18</v>
      </c>
      <c r="S14" s="11" t="str">
        <f>"002714"</f>
        <v>002714</v>
      </c>
      <c r="T14" s="10">
        <v>43270</v>
      </c>
      <c r="U14" s="14">
        <v>4.9988599999999996</v>
      </c>
      <c r="V14" s="14">
        <v>0.46489999999999998</v>
      </c>
      <c r="W14" s="14">
        <v>4.5339600000000004</v>
      </c>
      <c r="X14" s="11">
        <v>97</v>
      </c>
      <c r="Y14" s="10">
        <v>43271</v>
      </c>
      <c r="Z14" s="11">
        <v>9916950205</v>
      </c>
      <c r="AA14" s="12" t="s">
        <v>71</v>
      </c>
      <c r="AB14" s="11" t="s">
        <v>89</v>
      </c>
      <c r="AC14" s="12" t="s">
        <v>90</v>
      </c>
      <c r="AD14" s="11" t="s">
        <v>43</v>
      </c>
      <c r="AE14" s="12" t="s">
        <v>44</v>
      </c>
      <c r="AF14" s="14">
        <v>4.9988599999999994E-2</v>
      </c>
      <c r="AG14" s="11" t="s">
        <v>45</v>
      </c>
    </row>
    <row r="15" spans="1:33" x14ac:dyDescent="0.2">
      <c r="A15" s="8">
        <v>2412</v>
      </c>
      <c r="B15" s="9" t="s">
        <v>52</v>
      </c>
      <c r="C15" s="10">
        <v>43271</v>
      </c>
      <c r="D15" s="11">
        <v>139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91</v>
      </c>
      <c r="J15" s="12" t="s">
        <v>92</v>
      </c>
      <c r="K15" s="13" t="s">
        <v>60</v>
      </c>
      <c r="L15" s="11" t="str">
        <f>"000194"</f>
        <v>000194</v>
      </c>
      <c r="M15" s="10">
        <v>43150</v>
      </c>
      <c r="N15" s="11" t="str">
        <f>"000123"</f>
        <v>000123</v>
      </c>
      <c r="O15" s="10">
        <v>43151</v>
      </c>
      <c r="P15" s="11" t="str">
        <f>"000191"</f>
        <v>000191</v>
      </c>
      <c r="Q15" s="10">
        <v>43151</v>
      </c>
      <c r="R15" s="11">
        <v>18</v>
      </c>
      <c r="S15" s="11" t="str">
        <f>"002723"</f>
        <v>002723</v>
      </c>
      <c r="T15" s="10">
        <v>43270</v>
      </c>
      <c r="U15" s="14">
        <v>4.9942799999999998</v>
      </c>
      <c r="V15" s="14">
        <v>0.46446999999999999</v>
      </c>
      <c r="W15" s="14">
        <v>4.5298100000000003</v>
      </c>
      <c r="X15" s="11">
        <v>97</v>
      </c>
      <c r="Y15" s="10">
        <v>43271</v>
      </c>
      <c r="Z15" s="11">
        <v>9916950205</v>
      </c>
      <c r="AA15" s="12" t="s">
        <v>67</v>
      </c>
      <c r="AB15" s="11" t="s">
        <v>93</v>
      </c>
      <c r="AC15" s="12" t="s">
        <v>94</v>
      </c>
      <c r="AD15" s="11" t="s">
        <v>43</v>
      </c>
      <c r="AE15" s="12" t="s">
        <v>44</v>
      </c>
      <c r="AF15" s="14">
        <v>4.9942799999999996E-2</v>
      </c>
      <c r="AG15" s="11" t="s">
        <v>45</v>
      </c>
    </row>
    <row r="16" spans="1:33" x14ac:dyDescent="0.2">
      <c r="A16" s="8">
        <v>2413</v>
      </c>
      <c r="B16" s="9" t="s">
        <v>52</v>
      </c>
      <c r="C16" s="10">
        <v>43271</v>
      </c>
      <c r="D16" s="11">
        <v>139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95</v>
      </c>
      <c r="J16" s="12" t="s">
        <v>96</v>
      </c>
      <c r="K16" s="13" t="s">
        <v>97</v>
      </c>
      <c r="L16" s="11" t="str">
        <f>"000197"</f>
        <v>000197</v>
      </c>
      <c r="M16" s="10">
        <v>43150</v>
      </c>
      <c r="N16" s="11" t="str">
        <f>"000122"</f>
        <v>000122</v>
      </c>
      <c r="O16" s="10">
        <v>43151</v>
      </c>
      <c r="P16" s="11" t="str">
        <f>"000190"</f>
        <v>000190</v>
      </c>
      <c r="Q16" s="10">
        <v>43151</v>
      </c>
      <c r="R16" s="11">
        <v>18</v>
      </c>
      <c r="S16" s="11" t="str">
        <f>"002724"</f>
        <v>002724</v>
      </c>
      <c r="T16" s="10">
        <v>43270</v>
      </c>
      <c r="U16" s="14">
        <v>9.9965200000000003</v>
      </c>
      <c r="V16" s="14">
        <v>0.92969000000000002</v>
      </c>
      <c r="W16" s="14">
        <v>9.0668299999999995</v>
      </c>
      <c r="X16" s="11">
        <v>97</v>
      </c>
      <c r="Y16" s="10">
        <v>43271</v>
      </c>
      <c r="Z16" s="11">
        <v>9916950205</v>
      </c>
      <c r="AA16" s="12" t="s">
        <v>71</v>
      </c>
      <c r="AB16" s="11" t="s">
        <v>98</v>
      </c>
      <c r="AC16" s="12" t="s">
        <v>99</v>
      </c>
      <c r="AD16" s="11" t="s">
        <v>43</v>
      </c>
      <c r="AE16" s="12" t="s">
        <v>44</v>
      </c>
      <c r="AF16" s="14">
        <v>9.9965200000000004E-2</v>
      </c>
      <c r="AG16" s="11" t="s">
        <v>45</v>
      </c>
    </row>
    <row r="17" spans="1:33" x14ac:dyDescent="0.2">
      <c r="A17" s="8">
        <v>2414</v>
      </c>
      <c r="B17" s="9" t="s">
        <v>52</v>
      </c>
      <c r="C17" s="10">
        <v>43271</v>
      </c>
      <c r="D17" s="11">
        <v>139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100</v>
      </c>
      <c r="J17" s="12" t="s">
        <v>101</v>
      </c>
      <c r="K17" s="13" t="s">
        <v>39</v>
      </c>
      <c r="L17" s="11" t="str">
        <f>"000217"</f>
        <v>000217</v>
      </c>
      <c r="M17" s="10">
        <v>43151</v>
      </c>
      <c r="N17" s="11" t="str">
        <f>"000143"</f>
        <v>000143</v>
      </c>
      <c r="O17" s="10">
        <v>43154</v>
      </c>
      <c r="P17" s="11" t="str">
        <f>"000209"</f>
        <v>000209</v>
      </c>
      <c r="Q17" s="10">
        <v>43154</v>
      </c>
      <c r="R17" s="11">
        <v>18</v>
      </c>
      <c r="S17" s="11" t="str">
        <f>"002725"</f>
        <v>002725</v>
      </c>
      <c r="T17" s="10">
        <v>43270</v>
      </c>
      <c r="U17" s="14">
        <v>19.997990000000001</v>
      </c>
      <c r="V17" s="14">
        <v>1.9598100000000001</v>
      </c>
      <c r="W17" s="14">
        <v>18.038180000000001</v>
      </c>
      <c r="X17" s="11">
        <v>97</v>
      </c>
      <c r="Y17" s="10">
        <v>43271</v>
      </c>
      <c r="Z17" s="11">
        <v>9916950205</v>
      </c>
      <c r="AA17" s="12" t="s">
        <v>67</v>
      </c>
      <c r="AB17" s="11" t="s">
        <v>102</v>
      </c>
      <c r="AC17" s="12" t="s">
        <v>103</v>
      </c>
      <c r="AD17" s="11" t="s">
        <v>43</v>
      </c>
      <c r="AE17" s="12" t="s">
        <v>44</v>
      </c>
      <c r="AF17" s="14">
        <v>0.19997990000000002</v>
      </c>
      <c r="AG17" s="11" t="s">
        <v>45</v>
      </c>
    </row>
    <row r="18" spans="1:33" x14ac:dyDescent="0.2">
      <c r="A18" s="8">
        <v>2415</v>
      </c>
      <c r="B18" s="9" t="s">
        <v>52</v>
      </c>
      <c r="C18" s="10">
        <v>43271</v>
      </c>
      <c r="D18" s="11">
        <v>139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104</v>
      </c>
      <c r="J18" s="12" t="s">
        <v>105</v>
      </c>
      <c r="K18" s="13" t="s">
        <v>76</v>
      </c>
      <c r="L18" s="11" t="str">
        <f>"000219"</f>
        <v>000219</v>
      </c>
      <c r="M18" s="10">
        <v>43154</v>
      </c>
      <c r="N18" s="11" t="str">
        <f>"000141"</f>
        <v>000141</v>
      </c>
      <c r="O18" s="10">
        <v>43154</v>
      </c>
      <c r="P18" s="11" t="str">
        <f>"000211"</f>
        <v>000211</v>
      </c>
      <c r="Q18" s="10">
        <v>43154</v>
      </c>
      <c r="R18" s="11">
        <v>18</v>
      </c>
      <c r="S18" s="11" t="str">
        <f>"002726"</f>
        <v>002726</v>
      </c>
      <c r="T18" s="10">
        <v>43270</v>
      </c>
      <c r="U18" s="14">
        <v>14.99762</v>
      </c>
      <c r="V18" s="14">
        <v>1.46977</v>
      </c>
      <c r="W18" s="14">
        <v>13.527850000000001</v>
      </c>
      <c r="X18" s="11">
        <v>97</v>
      </c>
      <c r="Y18" s="10">
        <v>43271</v>
      </c>
      <c r="Z18" s="11">
        <v>9916950205</v>
      </c>
      <c r="AA18" s="12" t="s">
        <v>83</v>
      </c>
      <c r="AB18" s="11" t="s">
        <v>106</v>
      </c>
      <c r="AC18" s="12" t="s">
        <v>107</v>
      </c>
      <c r="AD18" s="11" t="s">
        <v>43</v>
      </c>
      <c r="AE18" s="12" t="s">
        <v>44</v>
      </c>
      <c r="AF18" s="14">
        <v>0.1499762</v>
      </c>
      <c r="AG18" s="11" t="s">
        <v>45</v>
      </c>
    </row>
    <row r="19" spans="1:33" x14ac:dyDescent="0.2">
      <c r="A19" s="8">
        <v>2416</v>
      </c>
      <c r="B19" s="9" t="s">
        <v>52</v>
      </c>
      <c r="C19" s="10">
        <v>43271</v>
      </c>
      <c r="D19" s="11">
        <v>139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108</v>
      </c>
      <c r="J19" s="12" t="s">
        <v>109</v>
      </c>
      <c r="K19" s="13" t="s">
        <v>88</v>
      </c>
      <c r="L19" s="11" t="str">
        <f>"000196"</f>
        <v>000196</v>
      </c>
      <c r="M19" s="10">
        <v>43150</v>
      </c>
      <c r="N19" s="11" t="str">
        <f>"000116"</f>
        <v>000116</v>
      </c>
      <c r="O19" s="10">
        <v>43151</v>
      </c>
      <c r="P19" s="11" t="str">
        <f>"000189"</f>
        <v>000189</v>
      </c>
      <c r="Q19" s="10">
        <v>43151</v>
      </c>
      <c r="R19" s="11">
        <v>18</v>
      </c>
      <c r="S19" s="11" t="str">
        <f>"002727"</f>
        <v>002727</v>
      </c>
      <c r="T19" s="10">
        <v>43270</v>
      </c>
      <c r="U19" s="14">
        <v>9.9936900000000009</v>
      </c>
      <c r="V19" s="14">
        <v>0.92940999999999996</v>
      </c>
      <c r="W19" s="14">
        <v>9.0642800000000001</v>
      </c>
      <c r="X19" s="11">
        <v>97</v>
      </c>
      <c r="Y19" s="10">
        <v>43271</v>
      </c>
      <c r="Z19" s="11">
        <v>9916950205</v>
      </c>
      <c r="AA19" s="12" t="s">
        <v>71</v>
      </c>
      <c r="AB19" s="11" t="s">
        <v>110</v>
      </c>
      <c r="AC19" s="12" t="s">
        <v>111</v>
      </c>
      <c r="AD19" s="11" t="s">
        <v>43</v>
      </c>
      <c r="AE19" s="12" t="s">
        <v>44</v>
      </c>
      <c r="AF19" s="14">
        <v>9.9936900000000009E-2</v>
      </c>
      <c r="AG19" s="11" t="s">
        <v>45</v>
      </c>
    </row>
    <row r="20" spans="1:33" x14ac:dyDescent="0.2">
      <c r="A20" s="8">
        <v>2417</v>
      </c>
      <c r="B20" s="9" t="s">
        <v>52</v>
      </c>
      <c r="C20" s="10">
        <v>43271</v>
      </c>
      <c r="D20" s="11">
        <v>139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112</v>
      </c>
      <c r="J20" s="12" t="s">
        <v>113</v>
      </c>
      <c r="K20" s="13" t="s">
        <v>39</v>
      </c>
      <c r="L20" s="11" t="str">
        <f>"000220"</f>
        <v>000220</v>
      </c>
      <c r="M20" s="10">
        <v>43154</v>
      </c>
      <c r="N20" s="11" t="str">
        <f>"000144"</f>
        <v>000144</v>
      </c>
      <c r="O20" s="10">
        <v>43154</v>
      </c>
      <c r="P20" s="11" t="str">
        <f>"000208"</f>
        <v>000208</v>
      </c>
      <c r="Q20" s="10">
        <v>43154</v>
      </c>
      <c r="R20" s="11">
        <v>18</v>
      </c>
      <c r="S20" s="11" t="str">
        <f>"002728"</f>
        <v>002728</v>
      </c>
      <c r="T20" s="10">
        <v>43270</v>
      </c>
      <c r="U20" s="14">
        <v>14.99502</v>
      </c>
      <c r="V20" s="14">
        <v>1.4695199999999999</v>
      </c>
      <c r="W20" s="14">
        <v>13.525499999999999</v>
      </c>
      <c r="X20" s="11">
        <v>97</v>
      </c>
      <c r="Y20" s="10">
        <v>43271</v>
      </c>
      <c r="Z20" s="11">
        <v>9916950205</v>
      </c>
      <c r="AA20" s="12" t="s">
        <v>83</v>
      </c>
      <c r="AB20" s="11" t="s">
        <v>114</v>
      </c>
      <c r="AC20" s="12" t="s">
        <v>115</v>
      </c>
      <c r="AD20" s="11" t="s">
        <v>43</v>
      </c>
      <c r="AE20" s="12" t="s">
        <v>44</v>
      </c>
      <c r="AF20" s="14">
        <v>0.14995020000000001</v>
      </c>
      <c r="AG20" s="11" t="s">
        <v>45</v>
      </c>
    </row>
    <row r="21" spans="1:33" x14ac:dyDescent="0.2">
      <c r="A21" s="8">
        <v>2418</v>
      </c>
      <c r="B21" s="9" t="s">
        <v>52</v>
      </c>
      <c r="C21" s="10">
        <v>43271</v>
      </c>
      <c r="D21" s="11">
        <v>139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116</v>
      </c>
      <c r="J21" s="12" t="s">
        <v>117</v>
      </c>
      <c r="K21" s="13" t="s">
        <v>97</v>
      </c>
      <c r="L21" s="11" t="str">
        <f>"000218"</f>
        <v>000218</v>
      </c>
      <c r="M21" s="10">
        <v>43154</v>
      </c>
      <c r="N21" s="11" t="str">
        <f>"000142"</f>
        <v>000142</v>
      </c>
      <c r="O21" s="10">
        <v>43154</v>
      </c>
      <c r="P21" s="11" t="str">
        <f>"000210"</f>
        <v>000210</v>
      </c>
      <c r="Q21" s="10">
        <v>43154</v>
      </c>
      <c r="R21" s="11">
        <v>18</v>
      </c>
      <c r="S21" s="11" t="str">
        <f>"002729"</f>
        <v>002729</v>
      </c>
      <c r="T21" s="10">
        <v>43270</v>
      </c>
      <c r="U21" s="14">
        <v>14.992789999999999</v>
      </c>
      <c r="V21" s="14">
        <v>1.4693000000000001</v>
      </c>
      <c r="W21" s="14">
        <v>13.523490000000001</v>
      </c>
      <c r="X21" s="11">
        <v>97</v>
      </c>
      <c r="Y21" s="10">
        <v>43271</v>
      </c>
      <c r="Z21" s="11">
        <v>9916950205</v>
      </c>
      <c r="AA21" s="12" t="s">
        <v>83</v>
      </c>
      <c r="AB21" s="11" t="s">
        <v>118</v>
      </c>
      <c r="AC21" s="12" t="s">
        <v>119</v>
      </c>
      <c r="AD21" s="11" t="s">
        <v>43</v>
      </c>
      <c r="AE21" s="12" t="s">
        <v>44</v>
      </c>
      <c r="AF21" s="14">
        <v>0.1499279</v>
      </c>
      <c r="AG21" s="11" t="s">
        <v>45</v>
      </c>
    </row>
    <row r="22" spans="1:33" x14ac:dyDescent="0.2">
      <c r="A22" s="8">
        <v>2903</v>
      </c>
      <c r="B22" s="9" t="s">
        <v>120</v>
      </c>
      <c r="C22" s="10">
        <v>43283</v>
      </c>
      <c r="D22" s="11">
        <v>139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121</v>
      </c>
      <c r="J22" s="12" t="s">
        <v>122</v>
      </c>
      <c r="K22" s="13" t="s">
        <v>39</v>
      </c>
      <c r="L22" s="11" t="str">
        <f>"000148"</f>
        <v>000148</v>
      </c>
      <c r="M22" s="10">
        <v>43191</v>
      </c>
      <c r="N22" s="11" t="str">
        <f>"000069"</f>
        <v>000069</v>
      </c>
      <c r="O22" s="10">
        <v>42914</v>
      </c>
      <c r="P22" s="11" t="str">
        <f>"000272"</f>
        <v>000272</v>
      </c>
      <c r="Q22" s="10">
        <v>42916</v>
      </c>
      <c r="R22" s="11">
        <v>17</v>
      </c>
      <c r="S22" s="11" t="str">
        <f>"003095"</f>
        <v>003095</v>
      </c>
      <c r="T22" s="10">
        <v>43280</v>
      </c>
      <c r="U22" s="14">
        <v>6.9858099999999999</v>
      </c>
      <c r="V22" s="14">
        <v>1.0334399999999999</v>
      </c>
      <c r="W22" s="14">
        <v>5.9523700000000002</v>
      </c>
      <c r="X22" s="11">
        <v>107</v>
      </c>
      <c r="Y22" s="10">
        <v>43283</v>
      </c>
      <c r="Z22" s="11">
        <v>9886817582</v>
      </c>
      <c r="AA22" s="12" t="s">
        <v>40</v>
      </c>
      <c r="AB22" s="11" t="s">
        <v>123</v>
      </c>
      <c r="AC22" s="12" t="s">
        <v>124</v>
      </c>
      <c r="AD22" s="11" t="s">
        <v>43</v>
      </c>
      <c r="AE22" s="12" t="s">
        <v>44</v>
      </c>
      <c r="AF22" s="14">
        <v>6.9858099999999992E-2</v>
      </c>
      <c r="AG22" s="11" t="s">
        <v>125</v>
      </c>
    </row>
    <row r="23" spans="1:33" x14ac:dyDescent="0.2">
      <c r="A23" s="8">
        <v>2904</v>
      </c>
      <c r="B23" s="9" t="s">
        <v>120</v>
      </c>
      <c r="C23" s="10">
        <v>43283</v>
      </c>
      <c r="D23" s="11">
        <v>139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126</v>
      </c>
      <c r="J23" s="12" t="s">
        <v>127</v>
      </c>
      <c r="K23" s="13" t="s">
        <v>39</v>
      </c>
      <c r="L23" s="11" t="str">
        <f>"000387"</f>
        <v>000387</v>
      </c>
      <c r="M23" s="10">
        <v>42768</v>
      </c>
      <c r="N23" s="11" t="str">
        <f>"000392"</f>
        <v>000392</v>
      </c>
      <c r="O23" s="10">
        <v>42914</v>
      </c>
      <c r="P23" s="11" t="str">
        <f>"000277"</f>
        <v>000277</v>
      </c>
      <c r="Q23" s="10">
        <v>42916</v>
      </c>
      <c r="R23" s="11">
        <v>17</v>
      </c>
      <c r="S23" s="11" t="str">
        <f>"003096"</f>
        <v>003096</v>
      </c>
      <c r="T23" s="10">
        <v>43280</v>
      </c>
      <c r="U23" s="14">
        <v>6.9867800000000004</v>
      </c>
      <c r="V23" s="14">
        <v>1.03328</v>
      </c>
      <c r="W23" s="14">
        <v>5.9535</v>
      </c>
      <c r="X23" s="11">
        <v>107</v>
      </c>
      <c r="Y23" s="10">
        <v>43283</v>
      </c>
      <c r="Z23" s="11">
        <v>9886817582</v>
      </c>
      <c r="AA23" s="12" t="s">
        <v>128</v>
      </c>
      <c r="AB23" s="11" t="s">
        <v>123</v>
      </c>
      <c r="AC23" s="12" t="s">
        <v>124</v>
      </c>
      <c r="AD23" s="11" t="s">
        <v>43</v>
      </c>
      <c r="AE23" s="12" t="s">
        <v>44</v>
      </c>
      <c r="AF23" s="14">
        <v>6.9867800000000008E-2</v>
      </c>
      <c r="AG23" s="11" t="s">
        <v>45</v>
      </c>
    </row>
    <row r="24" spans="1:33" x14ac:dyDescent="0.2">
      <c r="A24" s="8">
        <v>2905</v>
      </c>
      <c r="B24" s="9" t="s">
        <v>120</v>
      </c>
      <c r="C24" s="10">
        <v>43283</v>
      </c>
      <c r="D24" s="11">
        <v>139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129</v>
      </c>
      <c r="J24" s="12" t="s">
        <v>130</v>
      </c>
      <c r="K24" s="13" t="s">
        <v>39</v>
      </c>
      <c r="L24" s="11" t="str">
        <f>"000389"</f>
        <v>000389</v>
      </c>
      <c r="M24" s="10">
        <v>42774</v>
      </c>
      <c r="N24" s="11" t="str">
        <f>"000377"</f>
        <v>000377</v>
      </c>
      <c r="O24" s="10">
        <v>42914</v>
      </c>
      <c r="P24" s="11" t="str">
        <f>"000282"</f>
        <v>000282</v>
      </c>
      <c r="Q24" s="10">
        <v>42916</v>
      </c>
      <c r="R24" s="11">
        <v>17</v>
      </c>
      <c r="S24" s="11" t="str">
        <f>"003097"</f>
        <v>003097</v>
      </c>
      <c r="T24" s="10">
        <v>43280</v>
      </c>
      <c r="U24" s="14">
        <v>7.9884000000000004</v>
      </c>
      <c r="V24" s="14">
        <v>1.1810499999999999</v>
      </c>
      <c r="W24" s="14">
        <v>6.8073499999999996</v>
      </c>
      <c r="X24" s="11">
        <v>107</v>
      </c>
      <c r="Y24" s="10">
        <v>43283</v>
      </c>
      <c r="Z24" s="11">
        <v>9886817582</v>
      </c>
      <c r="AA24" s="12" t="s">
        <v>131</v>
      </c>
      <c r="AB24" s="11" t="s">
        <v>132</v>
      </c>
      <c r="AC24" s="12" t="s">
        <v>133</v>
      </c>
      <c r="AD24" s="11" t="s">
        <v>43</v>
      </c>
      <c r="AE24" s="12" t="s">
        <v>44</v>
      </c>
      <c r="AF24" s="14">
        <v>7.9884000000000011E-2</v>
      </c>
      <c r="AG24" s="11" t="s">
        <v>45</v>
      </c>
    </row>
    <row r="25" spans="1:33" x14ac:dyDescent="0.2">
      <c r="A25" s="8">
        <v>2906</v>
      </c>
      <c r="B25" s="9" t="s">
        <v>120</v>
      </c>
      <c r="C25" s="10">
        <v>43283</v>
      </c>
      <c r="D25" s="11">
        <v>139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134</v>
      </c>
      <c r="J25" s="12" t="s">
        <v>135</v>
      </c>
      <c r="K25" s="13" t="s">
        <v>39</v>
      </c>
      <c r="L25" s="11" t="str">
        <f>"000382"</f>
        <v>000382</v>
      </c>
      <c r="M25" s="10">
        <v>42774</v>
      </c>
      <c r="N25" s="11" t="str">
        <f>"000393"</f>
        <v>000393</v>
      </c>
      <c r="O25" s="10">
        <v>42914</v>
      </c>
      <c r="P25" s="11" t="str">
        <f>"000283"</f>
        <v>000283</v>
      </c>
      <c r="Q25" s="10">
        <v>42916</v>
      </c>
      <c r="R25" s="11">
        <v>17</v>
      </c>
      <c r="S25" s="11" t="str">
        <f>"003098"</f>
        <v>003098</v>
      </c>
      <c r="T25" s="10">
        <v>43280</v>
      </c>
      <c r="U25" s="14">
        <v>7.9521800000000002</v>
      </c>
      <c r="V25" s="14">
        <v>1.17842</v>
      </c>
      <c r="W25" s="14">
        <v>6.7737600000000002</v>
      </c>
      <c r="X25" s="11">
        <v>107</v>
      </c>
      <c r="Y25" s="10">
        <v>43283</v>
      </c>
      <c r="Z25" s="11">
        <v>9886817582</v>
      </c>
      <c r="AA25" s="12" t="s">
        <v>40</v>
      </c>
      <c r="AB25" s="11" t="s">
        <v>132</v>
      </c>
      <c r="AC25" s="12" t="s">
        <v>133</v>
      </c>
      <c r="AD25" s="11" t="s">
        <v>43</v>
      </c>
      <c r="AE25" s="12" t="s">
        <v>44</v>
      </c>
      <c r="AF25" s="14">
        <v>7.9521800000000004E-2</v>
      </c>
      <c r="AG25" s="11" t="s">
        <v>45</v>
      </c>
    </row>
    <row r="26" spans="1:33" x14ac:dyDescent="0.2">
      <c r="A26" s="8">
        <v>2907</v>
      </c>
      <c r="B26" s="9" t="s">
        <v>120</v>
      </c>
      <c r="C26" s="10">
        <v>43283</v>
      </c>
      <c r="D26" s="11">
        <v>139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136</v>
      </c>
      <c r="J26" s="12" t="s">
        <v>137</v>
      </c>
      <c r="K26" s="13" t="s">
        <v>60</v>
      </c>
      <c r="L26" s="11" t="str">
        <f>"000420"</f>
        <v>000420</v>
      </c>
      <c r="M26" s="10">
        <v>42831</v>
      </c>
      <c r="N26" s="11" t="str">
        <f>"000421"</f>
        <v>000421</v>
      </c>
      <c r="O26" s="10">
        <v>42916</v>
      </c>
      <c r="P26" s="11" t="str">
        <f>"000302"</f>
        <v>000302</v>
      </c>
      <c r="Q26" s="10">
        <v>42916</v>
      </c>
      <c r="R26" s="11">
        <v>17</v>
      </c>
      <c r="S26" s="11" t="str">
        <f>"003174"</f>
        <v>003174</v>
      </c>
      <c r="T26" s="10">
        <v>43280</v>
      </c>
      <c r="U26" s="14">
        <v>80.454329999999999</v>
      </c>
      <c r="V26" s="14">
        <v>10.45903</v>
      </c>
      <c r="W26" s="14">
        <v>69.9953</v>
      </c>
      <c r="X26" s="11">
        <v>107</v>
      </c>
      <c r="Y26" s="10">
        <v>43283</v>
      </c>
      <c r="Z26" s="11">
        <v>9448509345</v>
      </c>
      <c r="AA26" s="12" t="s">
        <v>138</v>
      </c>
      <c r="AB26" s="11" t="s">
        <v>139</v>
      </c>
      <c r="AC26" s="12" t="s">
        <v>140</v>
      </c>
      <c r="AD26" s="11" t="s">
        <v>43</v>
      </c>
      <c r="AE26" s="12" t="s">
        <v>44</v>
      </c>
      <c r="AF26" s="14">
        <v>0.80454329999999996</v>
      </c>
      <c r="AG26" s="11" t="s">
        <v>45</v>
      </c>
    </row>
    <row r="27" spans="1:33" x14ac:dyDescent="0.2">
      <c r="A27" s="8">
        <v>3332</v>
      </c>
      <c r="B27" s="9" t="s">
        <v>120</v>
      </c>
      <c r="C27" s="10">
        <v>43297</v>
      </c>
      <c r="D27" s="11">
        <v>139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141</v>
      </c>
      <c r="J27" s="12" t="s">
        <v>142</v>
      </c>
      <c r="K27" s="13" t="s">
        <v>82</v>
      </c>
      <c r="L27" s="11" t="str">
        <f>"000082"</f>
        <v>000082</v>
      </c>
      <c r="M27" s="10">
        <v>42661</v>
      </c>
      <c r="N27" s="11" t="str">
        <f>"000152"</f>
        <v>000152</v>
      </c>
      <c r="O27" s="10">
        <v>42729</v>
      </c>
      <c r="P27" s="11" t="str">
        <f>"000632"</f>
        <v>000632</v>
      </c>
      <c r="Q27" s="10">
        <v>42734</v>
      </c>
      <c r="R27" s="11">
        <v>16</v>
      </c>
      <c r="S27" s="11" t="str">
        <f>"003537"</f>
        <v>003537</v>
      </c>
      <c r="T27" s="10">
        <v>43291</v>
      </c>
      <c r="U27" s="14">
        <v>7.3038600000000002</v>
      </c>
      <c r="V27" s="14">
        <v>0.90495000000000003</v>
      </c>
      <c r="W27" s="14">
        <v>6.3989099999999999</v>
      </c>
      <c r="X27" s="11">
        <v>125</v>
      </c>
      <c r="Y27" s="10">
        <v>43297</v>
      </c>
      <c r="Z27" s="11">
        <v>9886817582</v>
      </c>
      <c r="AA27" s="12" t="s">
        <v>143</v>
      </c>
      <c r="AB27" s="11" t="s">
        <v>78</v>
      </c>
      <c r="AC27" s="12" t="s">
        <v>79</v>
      </c>
      <c r="AD27" s="11" t="s">
        <v>43</v>
      </c>
      <c r="AE27" s="12" t="s">
        <v>44</v>
      </c>
      <c r="AF27" s="14">
        <v>7.3038600000000009E-2</v>
      </c>
      <c r="AG27" s="11" t="s">
        <v>45</v>
      </c>
    </row>
    <row r="28" spans="1:33" x14ac:dyDescent="0.2">
      <c r="A28" s="8">
        <v>3573</v>
      </c>
      <c r="B28" s="9" t="s">
        <v>120</v>
      </c>
      <c r="C28" s="10">
        <v>43299</v>
      </c>
      <c r="D28" s="11">
        <v>139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144</v>
      </c>
      <c r="J28" s="12" t="s">
        <v>145</v>
      </c>
      <c r="K28" s="13" t="s">
        <v>88</v>
      </c>
      <c r="L28" s="11" t="str">
        <f>"000063"</f>
        <v>000063</v>
      </c>
      <c r="M28" s="10">
        <v>41576</v>
      </c>
      <c r="N28" s="11" t="str">
        <f>"000007"</f>
        <v>000007</v>
      </c>
      <c r="O28" s="10">
        <v>42944</v>
      </c>
      <c r="P28" s="11" t="str">
        <f>"000008"</f>
        <v>000008</v>
      </c>
      <c r="Q28" s="10">
        <v>42944</v>
      </c>
      <c r="R28" s="11">
        <v>13</v>
      </c>
      <c r="S28" s="11" t="str">
        <f>"003479"</f>
        <v>003479</v>
      </c>
      <c r="T28" s="10">
        <v>43291</v>
      </c>
      <c r="U28" s="14">
        <v>6.5645899999999999</v>
      </c>
      <c r="V28" s="14">
        <v>0.84089999999999998</v>
      </c>
      <c r="W28" s="14">
        <v>5.7236900000000004</v>
      </c>
      <c r="X28" s="11">
        <v>127</v>
      </c>
      <c r="Y28" s="10">
        <v>43299</v>
      </c>
      <c r="Z28" s="11">
        <v>9845239239</v>
      </c>
      <c r="AA28" s="12" t="s">
        <v>146</v>
      </c>
      <c r="AB28" s="11" t="s">
        <v>147</v>
      </c>
      <c r="AC28" s="12" t="s">
        <v>148</v>
      </c>
      <c r="AD28" s="11" t="s">
        <v>149</v>
      </c>
      <c r="AE28" s="12" t="s">
        <v>150</v>
      </c>
      <c r="AF28" s="14">
        <v>6.5645899999999993E-2</v>
      </c>
      <c r="AG28" s="11" t="s">
        <v>45</v>
      </c>
    </row>
    <row r="29" spans="1:33" x14ac:dyDescent="0.2">
      <c r="A29" s="8">
        <v>4150</v>
      </c>
      <c r="B29" s="9" t="s">
        <v>120</v>
      </c>
      <c r="C29" s="10">
        <v>43308</v>
      </c>
      <c r="D29" s="11">
        <v>139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151</v>
      </c>
      <c r="J29" s="12" t="s">
        <v>152</v>
      </c>
      <c r="K29" s="13" t="s">
        <v>97</v>
      </c>
      <c r="L29" s="11" t="str">
        <f>"000146"</f>
        <v>000146</v>
      </c>
      <c r="M29" s="10">
        <v>43166</v>
      </c>
      <c r="N29" s="11" t="str">
        <f>"000028"</f>
        <v>000028</v>
      </c>
      <c r="O29" s="10">
        <v>43255</v>
      </c>
      <c r="P29" s="11" t="str">
        <f>"000028"</f>
        <v>000028</v>
      </c>
      <c r="Q29" s="10">
        <v>43255</v>
      </c>
      <c r="R29" s="11">
        <v>18</v>
      </c>
      <c r="S29" s="11" t="str">
        <f>"004413"</f>
        <v>004413</v>
      </c>
      <c r="T29" s="10">
        <v>43306</v>
      </c>
      <c r="U29" s="14">
        <v>24.941469999999999</v>
      </c>
      <c r="V29" s="14">
        <v>2.6437900000000001</v>
      </c>
      <c r="W29" s="14">
        <v>22.29768</v>
      </c>
      <c r="X29" s="11">
        <v>145</v>
      </c>
      <c r="Y29" s="10">
        <v>43308</v>
      </c>
      <c r="Z29" s="11">
        <v>9844025075</v>
      </c>
      <c r="AA29" s="12" t="s">
        <v>153</v>
      </c>
      <c r="AB29" s="11" t="s">
        <v>41</v>
      </c>
      <c r="AC29" s="12" t="s">
        <v>42</v>
      </c>
      <c r="AD29" s="11" t="s">
        <v>149</v>
      </c>
      <c r="AE29" s="12" t="s">
        <v>150</v>
      </c>
      <c r="AF29" s="14">
        <v>0.24941469999999999</v>
      </c>
      <c r="AG29" s="11" t="s">
        <v>125</v>
      </c>
    </row>
    <row r="30" spans="1:33" x14ac:dyDescent="0.2">
      <c r="A30" s="8">
        <v>4867</v>
      </c>
      <c r="B30" s="9" t="s">
        <v>154</v>
      </c>
      <c r="C30" s="10">
        <v>43326</v>
      </c>
      <c r="D30" s="11">
        <v>139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155</v>
      </c>
      <c r="J30" s="12" t="s">
        <v>156</v>
      </c>
      <c r="K30" s="13" t="s">
        <v>60</v>
      </c>
      <c r="L30" s="11" t="str">
        <f>"000065"</f>
        <v>000065</v>
      </c>
      <c r="M30" s="10">
        <v>41877</v>
      </c>
      <c r="N30" s="11" t="str">
        <f>"000171"</f>
        <v>000171</v>
      </c>
      <c r="O30" s="10">
        <v>42794</v>
      </c>
      <c r="P30" s="11" t="str">
        <f>"000698"</f>
        <v>000698</v>
      </c>
      <c r="Q30" s="10">
        <v>42794</v>
      </c>
      <c r="R30" s="11">
        <v>14</v>
      </c>
      <c r="S30" s="11" t="str">
        <f>"004919"</f>
        <v>004919</v>
      </c>
      <c r="T30" s="10">
        <v>43318</v>
      </c>
      <c r="U30" s="14">
        <v>11.99994</v>
      </c>
      <c r="V30" s="14">
        <v>1.8019799999999999</v>
      </c>
      <c r="W30" s="14">
        <v>10.19796</v>
      </c>
      <c r="X30" s="11">
        <v>170</v>
      </c>
      <c r="Y30" s="10">
        <v>43326</v>
      </c>
      <c r="Z30" s="11">
        <v>9060024000</v>
      </c>
      <c r="AA30" s="12" t="s">
        <v>157</v>
      </c>
      <c r="AB30" s="11" t="s">
        <v>78</v>
      </c>
      <c r="AC30" s="12" t="s">
        <v>79</v>
      </c>
      <c r="AD30" s="11" t="s">
        <v>43</v>
      </c>
      <c r="AE30" s="12" t="s">
        <v>44</v>
      </c>
      <c r="AF30" s="14">
        <v>0.11999940000000001</v>
      </c>
      <c r="AG30" s="11" t="s">
        <v>45</v>
      </c>
    </row>
    <row r="31" spans="1:33" x14ac:dyDescent="0.2">
      <c r="A31" s="8">
        <v>5312</v>
      </c>
      <c r="B31" s="9" t="s">
        <v>158</v>
      </c>
      <c r="C31" s="10">
        <v>43346</v>
      </c>
      <c r="D31" s="11">
        <v>139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159</v>
      </c>
      <c r="J31" s="12" t="s">
        <v>160</v>
      </c>
      <c r="K31" s="13" t="s">
        <v>97</v>
      </c>
      <c r="L31" s="11" t="str">
        <f>"000155"</f>
        <v>000155</v>
      </c>
      <c r="M31" s="10">
        <v>42584</v>
      </c>
      <c r="N31" s="11" t="str">
        <f>"000235"</f>
        <v>000235</v>
      </c>
      <c r="O31" s="10">
        <v>42800</v>
      </c>
      <c r="P31" s="11" t="str">
        <f>"000752"</f>
        <v>000752</v>
      </c>
      <c r="Q31" s="10">
        <v>42825</v>
      </c>
      <c r="R31" s="11">
        <v>17</v>
      </c>
      <c r="S31" s="11" t="str">
        <f>"005370"</f>
        <v>005370</v>
      </c>
      <c r="T31" s="10">
        <v>43335</v>
      </c>
      <c r="U31" s="14">
        <v>19.987200000000001</v>
      </c>
      <c r="V31" s="14">
        <v>2.9927199999999998</v>
      </c>
      <c r="W31" s="14">
        <v>16.994479999999999</v>
      </c>
      <c r="X31" s="11">
        <v>193</v>
      </c>
      <c r="Y31" s="10">
        <v>43346</v>
      </c>
      <c r="Z31" s="11">
        <v>9886817582</v>
      </c>
      <c r="AA31" s="12" t="s">
        <v>157</v>
      </c>
      <c r="AB31" s="11" t="s">
        <v>132</v>
      </c>
      <c r="AC31" s="12" t="s">
        <v>133</v>
      </c>
      <c r="AD31" s="11" t="s">
        <v>43</v>
      </c>
      <c r="AE31" s="12" t="s">
        <v>44</v>
      </c>
      <c r="AF31" s="14">
        <f t="shared" ref="AF31:AF91" si="0">U31/100</f>
        <v>0.19987200000000002</v>
      </c>
      <c r="AG31" s="11" t="s">
        <v>45</v>
      </c>
    </row>
    <row r="32" spans="1:33" x14ac:dyDescent="0.2">
      <c r="A32" s="8">
        <v>5313</v>
      </c>
      <c r="B32" s="9" t="s">
        <v>158</v>
      </c>
      <c r="C32" s="10">
        <v>43346</v>
      </c>
      <c r="D32" s="11">
        <v>139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161</v>
      </c>
      <c r="J32" s="12" t="s">
        <v>162</v>
      </c>
      <c r="K32" s="13" t="s">
        <v>97</v>
      </c>
      <c r="L32" s="11" t="str">
        <f>"000150"</f>
        <v>000150</v>
      </c>
      <c r="M32" s="10">
        <v>42774</v>
      </c>
      <c r="N32" s="11" t="str">
        <f>"000243"</f>
        <v>000243</v>
      </c>
      <c r="O32" s="10">
        <v>42818</v>
      </c>
      <c r="P32" s="11" t="str">
        <f>"000751"</f>
        <v>000751</v>
      </c>
      <c r="Q32" s="10">
        <v>42825</v>
      </c>
      <c r="R32" s="11">
        <v>17</v>
      </c>
      <c r="S32" s="11" t="str">
        <f>"005443"</f>
        <v>005443</v>
      </c>
      <c r="T32" s="10">
        <v>43340</v>
      </c>
      <c r="U32" s="14">
        <v>19.995429999999999</v>
      </c>
      <c r="V32" s="14">
        <v>3.0027300000000001</v>
      </c>
      <c r="W32" s="14">
        <v>16.992699999999999</v>
      </c>
      <c r="X32" s="11">
        <v>193</v>
      </c>
      <c r="Y32" s="10">
        <v>43346</v>
      </c>
      <c r="Z32" s="11">
        <v>9886817582</v>
      </c>
      <c r="AA32" s="12" t="s">
        <v>157</v>
      </c>
      <c r="AB32" s="11" t="s">
        <v>132</v>
      </c>
      <c r="AC32" s="12" t="s">
        <v>133</v>
      </c>
      <c r="AD32" s="11" t="s">
        <v>43</v>
      </c>
      <c r="AE32" s="12" t="s">
        <v>44</v>
      </c>
      <c r="AF32" s="14">
        <f t="shared" si="0"/>
        <v>0.1999543</v>
      </c>
      <c r="AG32" s="11" t="s">
        <v>45</v>
      </c>
    </row>
    <row r="33" spans="1:33" x14ac:dyDescent="0.2">
      <c r="A33" s="8">
        <v>5485</v>
      </c>
      <c r="B33" s="9" t="s">
        <v>158</v>
      </c>
      <c r="C33" s="10">
        <v>43357</v>
      </c>
      <c r="D33" s="11">
        <v>139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163</v>
      </c>
      <c r="J33" s="12" t="s">
        <v>164</v>
      </c>
      <c r="K33" s="13" t="s">
        <v>39</v>
      </c>
      <c r="L33" s="11" t="str">
        <f>"000041"</f>
        <v>000041</v>
      </c>
      <c r="M33" s="10">
        <v>43074</v>
      </c>
      <c r="N33" s="11" t="str">
        <f>"000031"</f>
        <v>000031</v>
      </c>
      <c r="O33" s="10">
        <v>43074</v>
      </c>
      <c r="P33" s="11" t="str">
        <f>"000031"</f>
        <v>000031</v>
      </c>
      <c r="Q33" s="10">
        <v>43075</v>
      </c>
      <c r="R33" s="11">
        <v>17</v>
      </c>
      <c r="S33" s="11" t="str">
        <f>"005696"</f>
        <v>005696</v>
      </c>
      <c r="T33" s="10">
        <v>43350</v>
      </c>
      <c r="U33" s="14">
        <v>7.9884500000000003</v>
      </c>
      <c r="V33" s="14">
        <v>1.18</v>
      </c>
      <c r="W33" s="14">
        <v>6.8084499999999997</v>
      </c>
      <c r="X33" s="11">
        <v>204</v>
      </c>
      <c r="Y33" s="10">
        <v>43357</v>
      </c>
      <c r="Z33" s="11">
        <v>9886817582</v>
      </c>
      <c r="AA33" s="12" t="s">
        <v>157</v>
      </c>
      <c r="AB33" s="11" t="s">
        <v>132</v>
      </c>
      <c r="AC33" s="12" t="s">
        <v>133</v>
      </c>
      <c r="AD33" s="11" t="s">
        <v>43</v>
      </c>
      <c r="AE33" s="12" t="s">
        <v>44</v>
      </c>
      <c r="AF33" s="14">
        <f t="shared" si="0"/>
        <v>7.9884499999999997E-2</v>
      </c>
      <c r="AG33" s="11" t="s">
        <v>45</v>
      </c>
    </row>
    <row r="34" spans="1:33" x14ac:dyDescent="0.2">
      <c r="A34" s="8">
        <v>5486</v>
      </c>
      <c r="B34" s="9" t="s">
        <v>158</v>
      </c>
      <c r="C34" s="10">
        <v>43357</v>
      </c>
      <c r="D34" s="11">
        <v>139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165</v>
      </c>
      <c r="J34" s="12" t="s">
        <v>166</v>
      </c>
      <c r="K34" s="13" t="s">
        <v>39</v>
      </c>
      <c r="L34" s="11" t="str">
        <f>"000042"</f>
        <v>000042</v>
      </c>
      <c r="M34" s="10">
        <v>43074</v>
      </c>
      <c r="N34" s="11" t="str">
        <f>"000032"</f>
        <v>000032</v>
      </c>
      <c r="O34" s="10">
        <v>43074</v>
      </c>
      <c r="P34" s="11" t="str">
        <f>"000032"</f>
        <v>000032</v>
      </c>
      <c r="Q34" s="10">
        <v>43075</v>
      </c>
      <c r="R34" s="11">
        <v>17</v>
      </c>
      <c r="S34" s="11" t="str">
        <f>"005697"</f>
        <v>005697</v>
      </c>
      <c r="T34" s="10">
        <v>43350</v>
      </c>
      <c r="U34" s="14">
        <v>7.9892500000000002</v>
      </c>
      <c r="V34" s="14">
        <v>1.1788000000000001</v>
      </c>
      <c r="W34" s="14">
        <v>6.8104500000000003</v>
      </c>
      <c r="X34" s="11">
        <v>204</v>
      </c>
      <c r="Y34" s="10">
        <v>43357</v>
      </c>
      <c r="Z34" s="11">
        <v>9886817582</v>
      </c>
      <c r="AA34" s="12" t="s">
        <v>157</v>
      </c>
      <c r="AB34" s="11" t="s">
        <v>132</v>
      </c>
      <c r="AC34" s="12" t="s">
        <v>133</v>
      </c>
      <c r="AD34" s="11" t="s">
        <v>43</v>
      </c>
      <c r="AE34" s="12" t="s">
        <v>44</v>
      </c>
      <c r="AF34" s="14">
        <f t="shared" si="0"/>
        <v>7.9892500000000005E-2</v>
      </c>
      <c r="AG34" s="11" t="s">
        <v>45</v>
      </c>
    </row>
    <row r="35" spans="1:33" x14ac:dyDescent="0.2">
      <c r="A35" s="8">
        <v>5487</v>
      </c>
      <c r="B35" s="9" t="s">
        <v>158</v>
      </c>
      <c r="C35" s="10">
        <v>43357</v>
      </c>
      <c r="D35" s="11">
        <v>139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167</v>
      </c>
      <c r="J35" s="12" t="s">
        <v>168</v>
      </c>
      <c r="K35" s="13" t="s">
        <v>60</v>
      </c>
      <c r="L35" s="11" t="str">
        <f>"000038"</f>
        <v>000038</v>
      </c>
      <c r="M35" s="10">
        <v>43073</v>
      </c>
      <c r="N35" s="11" t="str">
        <f>"000028"</f>
        <v>000028</v>
      </c>
      <c r="O35" s="10">
        <v>43074</v>
      </c>
      <c r="P35" s="11" t="str">
        <f>"000033"</f>
        <v>000033</v>
      </c>
      <c r="Q35" s="10">
        <v>43075</v>
      </c>
      <c r="R35" s="11">
        <v>17</v>
      </c>
      <c r="S35" s="11" t="str">
        <f>"005698"</f>
        <v>005698</v>
      </c>
      <c r="T35" s="10">
        <v>43350</v>
      </c>
      <c r="U35" s="14">
        <v>46.881279999999997</v>
      </c>
      <c r="V35" s="14">
        <v>7.0729899999999999</v>
      </c>
      <c r="W35" s="14">
        <v>39.80829</v>
      </c>
      <c r="X35" s="11">
        <v>204</v>
      </c>
      <c r="Y35" s="10">
        <v>43357</v>
      </c>
      <c r="Z35" s="11">
        <v>9886817582</v>
      </c>
      <c r="AA35" s="12" t="s">
        <v>157</v>
      </c>
      <c r="AB35" s="11" t="s">
        <v>169</v>
      </c>
      <c r="AC35" s="12" t="s">
        <v>170</v>
      </c>
      <c r="AD35" s="11" t="s">
        <v>43</v>
      </c>
      <c r="AE35" s="12" t="s">
        <v>44</v>
      </c>
      <c r="AF35" s="14">
        <f t="shared" si="0"/>
        <v>0.46881279999999997</v>
      </c>
      <c r="AG35" s="11" t="s">
        <v>45</v>
      </c>
    </row>
    <row r="36" spans="1:33" x14ac:dyDescent="0.2">
      <c r="A36" s="8">
        <v>5488</v>
      </c>
      <c r="B36" s="9" t="s">
        <v>158</v>
      </c>
      <c r="C36" s="10">
        <v>43357</v>
      </c>
      <c r="D36" s="11">
        <v>139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171</v>
      </c>
      <c r="J36" s="12" t="s">
        <v>172</v>
      </c>
      <c r="K36" s="13" t="s">
        <v>60</v>
      </c>
      <c r="L36" s="11" t="str">
        <f>"000039"</f>
        <v>000039</v>
      </c>
      <c r="M36" s="10">
        <v>43073</v>
      </c>
      <c r="N36" s="11" t="str">
        <f>"000029"</f>
        <v>000029</v>
      </c>
      <c r="O36" s="10">
        <v>43074</v>
      </c>
      <c r="P36" s="11" t="str">
        <f>"000037"</f>
        <v>000037</v>
      </c>
      <c r="Q36" s="10">
        <v>43077</v>
      </c>
      <c r="R36" s="11">
        <v>17</v>
      </c>
      <c r="S36" s="11" t="str">
        <f>"005699"</f>
        <v>005699</v>
      </c>
      <c r="T36" s="10">
        <v>43350</v>
      </c>
      <c r="U36" s="14">
        <v>46.881279999999997</v>
      </c>
      <c r="V36" s="14">
        <v>7.0610600000000003</v>
      </c>
      <c r="W36" s="14">
        <v>39.820219999999999</v>
      </c>
      <c r="X36" s="11">
        <v>204</v>
      </c>
      <c r="Y36" s="10">
        <v>43357</v>
      </c>
      <c r="Z36" s="11">
        <v>9886817582</v>
      </c>
      <c r="AA36" s="12" t="s">
        <v>157</v>
      </c>
      <c r="AB36" s="11" t="s">
        <v>169</v>
      </c>
      <c r="AC36" s="12" t="s">
        <v>170</v>
      </c>
      <c r="AD36" s="11" t="s">
        <v>43</v>
      </c>
      <c r="AE36" s="12" t="s">
        <v>44</v>
      </c>
      <c r="AF36" s="14">
        <f t="shared" si="0"/>
        <v>0.46881279999999997</v>
      </c>
      <c r="AG36" s="11" t="s">
        <v>45</v>
      </c>
    </row>
    <row r="37" spans="1:33" x14ac:dyDescent="0.2">
      <c r="A37" s="8">
        <v>5541</v>
      </c>
      <c r="B37" s="9" t="s">
        <v>158</v>
      </c>
      <c r="C37" s="10">
        <v>43362</v>
      </c>
      <c r="D37" s="11">
        <v>139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173</v>
      </c>
      <c r="J37" s="12" t="s">
        <v>174</v>
      </c>
      <c r="K37" s="13" t="s">
        <v>97</v>
      </c>
      <c r="L37" s="11" t="str">
        <f>"000147"</f>
        <v>000147</v>
      </c>
      <c r="M37" s="10">
        <v>43166</v>
      </c>
      <c r="N37" s="11" t="str">
        <f>"000078"</f>
        <v>000078</v>
      </c>
      <c r="O37" s="10">
        <v>43342</v>
      </c>
      <c r="P37" s="11" t="str">
        <f>"000077"</f>
        <v>000077</v>
      </c>
      <c r="Q37" s="10">
        <v>43342</v>
      </c>
      <c r="R37" s="11">
        <v>18</v>
      </c>
      <c r="S37" s="11" t="str">
        <f>"005797"</f>
        <v>005797</v>
      </c>
      <c r="T37" s="10">
        <v>43361</v>
      </c>
      <c r="U37" s="14">
        <v>49.948300000000003</v>
      </c>
      <c r="V37" s="14">
        <v>5.3506200000000002</v>
      </c>
      <c r="W37" s="14">
        <v>44.597679999999997</v>
      </c>
      <c r="X37" s="11">
        <v>206</v>
      </c>
      <c r="Y37" s="10">
        <v>43362</v>
      </c>
      <c r="Z37" s="11">
        <v>9844025075</v>
      </c>
      <c r="AA37" s="12" t="s">
        <v>153</v>
      </c>
      <c r="AB37" s="11" t="s">
        <v>41</v>
      </c>
      <c r="AC37" s="12" t="s">
        <v>42</v>
      </c>
      <c r="AD37" s="11" t="s">
        <v>149</v>
      </c>
      <c r="AE37" s="12" t="s">
        <v>150</v>
      </c>
      <c r="AF37" s="14">
        <f t="shared" si="0"/>
        <v>0.49948300000000001</v>
      </c>
      <c r="AG37" s="11" t="s">
        <v>125</v>
      </c>
    </row>
    <row r="38" spans="1:33" x14ac:dyDescent="0.2">
      <c r="A38" s="8">
        <v>5717</v>
      </c>
      <c r="B38" s="9" t="s">
        <v>158</v>
      </c>
      <c r="C38" s="10">
        <v>43370</v>
      </c>
      <c r="D38" s="11">
        <v>139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175</v>
      </c>
      <c r="J38" s="12" t="s">
        <v>176</v>
      </c>
      <c r="K38" s="13" t="s">
        <v>97</v>
      </c>
      <c r="L38" s="11" t="str">
        <f>"000109"</f>
        <v>000109</v>
      </c>
      <c r="M38" s="10">
        <v>42908</v>
      </c>
      <c r="N38" s="11" t="str">
        <f>"000030"</f>
        <v>000030</v>
      </c>
      <c r="O38" s="10">
        <v>42983</v>
      </c>
      <c r="P38" s="11" t="str">
        <f>"000025"</f>
        <v>000025</v>
      </c>
      <c r="Q38" s="10">
        <v>42983</v>
      </c>
      <c r="R38" s="11">
        <v>16</v>
      </c>
      <c r="S38" s="11" t="str">
        <f>"005829"</f>
        <v>005829</v>
      </c>
      <c r="T38" s="10">
        <v>43362</v>
      </c>
      <c r="U38" s="14">
        <v>19.63176</v>
      </c>
      <c r="V38" s="14">
        <v>2.5872799999999998</v>
      </c>
      <c r="W38" s="14">
        <v>17.04448</v>
      </c>
      <c r="X38" s="11">
        <v>219</v>
      </c>
      <c r="Y38" s="10">
        <v>43370</v>
      </c>
      <c r="Z38" s="11">
        <v>9900333496</v>
      </c>
      <c r="AA38" s="12" t="s">
        <v>177</v>
      </c>
      <c r="AB38" s="11" t="s">
        <v>132</v>
      </c>
      <c r="AC38" s="12" t="s">
        <v>133</v>
      </c>
      <c r="AD38" s="11" t="s">
        <v>149</v>
      </c>
      <c r="AE38" s="12" t="s">
        <v>150</v>
      </c>
      <c r="AF38" s="14">
        <f t="shared" si="0"/>
        <v>0.19631760000000001</v>
      </c>
      <c r="AG38" s="11" t="s">
        <v>45</v>
      </c>
    </row>
    <row r="39" spans="1:33" x14ac:dyDescent="0.2">
      <c r="A39" s="8">
        <v>6212</v>
      </c>
      <c r="B39" s="9" t="s">
        <v>178</v>
      </c>
      <c r="C39" s="10">
        <v>43385</v>
      </c>
      <c r="D39" s="11">
        <v>139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179</v>
      </c>
      <c r="J39" s="12" t="s">
        <v>180</v>
      </c>
      <c r="K39" s="13" t="s">
        <v>76</v>
      </c>
      <c r="L39" s="11" t="str">
        <f>"000202"</f>
        <v>000202</v>
      </c>
      <c r="M39" s="10">
        <v>42812</v>
      </c>
      <c r="N39" s="11" t="str">
        <f>"000356"</f>
        <v>000356</v>
      </c>
      <c r="O39" s="10">
        <v>42837</v>
      </c>
      <c r="P39" s="11" t="str">
        <f>"000085"</f>
        <v>000085</v>
      </c>
      <c r="Q39" s="10">
        <v>42853</v>
      </c>
      <c r="R39" s="11">
        <v>17</v>
      </c>
      <c r="S39" s="11" t="str">
        <f>"006056"</f>
        <v>006056</v>
      </c>
      <c r="T39" s="10">
        <v>43374</v>
      </c>
      <c r="U39" s="14">
        <v>20.975390000000001</v>
      </c>
      <c r="V39" s="14">
        <v>2.8106800000000001</v>
      </c>
      <c r="W39" s="14">
        <v>18.164709999999999</v>
      </c>
      <c r="X39" s="11">
        <v>230</v>
      </c>
      <c r="Y39" s="10">
        <v>43385</v>
      </c>
      <c r="Z39" s="11">
        <v>9972550216</v>
      </c>
      <c r="AA39" s="12" t="s">
        <v>181</v>
      </c>
      <c r="AB39" s="11" t="s">
        <v>78</v>
      </c>
      <c r="AC39" s="12" t="s">
        <v>79</v>
      </c>
      <c r="AD39" s="11" t="s">
        <v>43</v>
      </c>
      <c r="AE39" s="12" t="s">
        <v>44</v>
      </c>
      <c r="AF39" s="14">
        <f t="shared" si="0"/>
        <v>0.20975390000000002</v>
      </c>
      <c r="AG39" s="11" t="s">
        <v>45</v>
      </c>
    </row>
    <row r="40" spans="1:33" x14ac:dyDescent="0.2">
      <c r="A40" s="8">
        <v>7021</v>
      </c>
      <c r="B40" s="9" t="s">
        <v>178</v>
      </c>
      <c r="C40" s="10">
        <v>43403</v>
      </c>
      <c r="D40" s="11">
        <v>139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182</v>
      </c>
      <c r="J40" s="12" t="s">
        <v>183</v>
      </c>
      <c r="K40" s="13" t="s">
        <v>60</v>
      </c>
      <c r="L40" s="11" t="str">
        <f>"000201"</f>
        <v>000201</v>
      </c>
      <c r="M40" s="10">
        <v>42812</v>
      </c>
      <c r="N40" s="11" t="str">
        <f>"000349"</f>
        <v>000349</v>
      </c>
      <c r="O40" s="10">
        <v>42853</v>
      </c>
      <c r="P40" s="11" t="str">
        <f>"0083"</f>
        <v>0083</v>
      </c>
      <c r="Q40" s="10">
        <v>42853</v>
      </c>
      <c r="R40" s="11">
        <v>17</v>
      </c>
      <c r="S40" s="11" t="str">
        <f>"006760"</f>
        <v>006760</v>
      </c>
      <c r="T40" s="10">
        <v>43389</v>
      </c>
      <c r="U40" s="14">
        <v>20.987880000000001</v>
      </c>
      <c r="V40" s="14">
        <v>2.8076599999999998</v>
      </c>
      <c r="W40" s="14">
        <v>18.180219999999998</v>
      </c>
      <c r="X40" s="11">
        <v>255</v>
      </c>
      <c r="Y40" s="10">
        <v>43403</v>
      </c>
      <c r="Z40" s="11">
        <v>9972550216</v>
      </c>
      <c r="AA40" s="12" t="s">
        <v>181</v>
      </c>
      <c r="AB40" s="11" t="s">
        <v>78</v>
      </c>
      <c r="AC40" s="12" t="s">
        <v>79</v>
      </c>
      <c r="AD40" s="11" t="s">
        <v>43</v>
      </c>
      <c r="AE40" s="12" t="s">
        <v>44</v>
      </c>
      <c r="AF40" s="14">
        <f t="shared" si="0"/>
        <v>0.2098788</v>
      </c>
      <c r="AG40" s="11" t="s">
        <v>45</v>
      </c>
    </row>
    <row r="41" spans="1:33" x14ac:dyDescent="0.2">
      <c r="A41" s="8">
        <v>7162</v>
      </c>
      <c r="B41" s="9" t="s">
        <v>184</v>
      </c>
      <c r="C41" s="10">
        <v>43418</v>
      </c>
      <c r="D41" s="11">
        <v>139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185</v>
      </c>
      <c r="J41" s="12" t="s">
        <v>186</v>
      </c>
      <c r="K41" s="13" t="s">
        <v>39</v>
      </c>
      <c r="L41" s="11" t="str">
        <f>"000201"</f>
        <v>000201</v>
      </c>
      <c r="M41" s="10">
        <v>43150</v>
      </c>
      <c r="N41" s="11" t="str">
        <f>"000119"</f>
        <v>000119</v>
      </c>
      <c r="O41" s="10">
        <v>43151</v>
      </c>
      <c r="P41" s="11" t="str">
        <f>"000186"</f>
        <v>000186</v>
      </c>
      <c r="Q41" s="10">
        <v>43151</v>
      </c>
      <c r="R41" s="11">
        <v>18</v>
      </c>
      <c r="S41" s="11" t="str">
        <f>"007186"</f>
        <v>007186</v>
      </c>
      <c r="T41" s="10">
        <v>43404</v>
      </c>
      <c r="U41" s="14">
        <v>16.647210000000001</v>
      </c>
      <c r="V41" s="14">
        <v>1.9643600000000001</v>
      </c>
      <c r="W41" s="14">
        <v>14.68285</v>
      </c>
      <c r="X41" s="11">
        <v>261</v>
      </c>
      <c r="Y41" s="10">
        <v>43418</v>
      </c>
      <c r="Z41" s="11">
        <v>9916950205</v>
      </c>
      <c r="AA41" s="12" t="s">
        <v>67</v>
      </c>
      <c r="AB41" s="11" t="s">
        <v>187</v>
      </c>
      <c r="AC41" s="12" t="s">
        <v>188</v>
      </c>
      <c r="AD41" s="11" t="s">
        <v>43</v>
      </c>
      <c r="AE41" s="12" t="s">
        <v>44</v>
      </c>
      <c r="AF41" s="14">
        <f t="shared" si="0"/>
        <v>0.16647210000000001</v>
      </c>
      <c r="AG41" s="11" t="s">
        <v>45</v>
      </c>
    </row>
    <row r="42" spans="1:33" x14ac:dyDescent="0.2">
      <c r="A42" s="8">
        <v>7163</v>
      </c>
      <c r="B42" s="9" t="s">
        <v>184</v>
      </c>
      <c r="C42" s="10">
        <v>43418</v>
      </c>
      <c r="D42" s="11">
        <v>139</v>
      </c>
      <c r="E42" s="12" t="s">
        <v>34</v>
      </c>
      <c r="F42" s="12" t="s">
        <v>35</v>
      </c>
      <c r="G42" s="12" t="s">
        <v>35</v>
      </c>
      <c r="H42" s="12" t="s">
        <v>36</v>
      </c>
      <c r="I42" s="11" t="s">
        <v>189</v>
      </c>
      <c r="J42" s="12" t="s">
        <v>190</v>
      </c>
      <c r="K42" s="13" t="s">
        <v>39</v>
      </c>
      <c r="L42" s="11" t="str">
        <f>"000207"</f>
        <v>000207</v>
      </c>
      <c r="M42" s="10">
        <v>43150</v>
      </c>
      <c r="N42" s="11" t="str">
        <f>"000127"</f>
        <v>000127</v>
      </c>
      <c r="O42" s="10">
        <v>43151</v>
      </c>
      <c r="P42" s="11" t="str">
        <f>"000196"</f>
        <v>000196</v>
      </c>
      <c r="Q42" s="10">
        <v>43151</v>
      </c>
      <c r="R42" s="11">
        <v>18</v>
      </c>
      <c r="S42" s="11" t="str">
        <f>"007187"</f>
        <v>007187</v>
      </c>
      <c r="T42" s="10">
        <v>43404</v>
      </c>
      <c r="U42" s="14">
        <v>16.648070000000001</v>
      </c>
      <c r="V42" s="14">
        <v>1.9644699999999999</v>
      </c>
      <c r="W42" s="14">
        <v>14.6836</v>
      </c>
      <c r="X42" s="11">
        <v>261</v>
      </c>
      <c r="Y42" s="10">
        <v>43418</v>
      </c>
      <c r="Z42" s="11">
        <v>9916950205</v>
      </c>
      <c r="AA42" s="12" t="s">
        <v>67</v>
      </c>
      <c r="AB42" s="11" t="s">
        <v>187</v>
      </c>
      <c r="AC42" s="12" t="s">
        <v>188</v>
      </c>
      <c r="AD42" s="11" t="s">
        <v>43</v>
      </c>
      <c r="AE42" s="12" t="s">
        <v>44</v>
      </c>
      <c r="AF42" s="14">
        <f t="shared" si="0"/>
        <v>0.16648070000000001</v>
      </c>
      <c r="AG42" s="11" t="s">
        <v>45</v>
      </c>
    </row>
    <row r="43" spans="1:33" x14ac:dyDescent="0.2">
      <c r="A43" s="8">
        <v>7164</v>
      </c>
      <c r="B43" s="9" t="s">
        <v>184</v>
      </c>
      <c r="C43" s="10">
        <v>43418</v>
      </c>
      <c r="D43" s="11">
        <v>139</v>
      </c>
      <c r="E43" s="12" t="s">
        <v>34</v>
      </c>
      <c r="F43" s="12" t="s">
        <v>35</v>
      </c>
      <c r="G43" s="12" t="s">
        <v>35</v>
      </c>
      <c r="H43" s="12" t="s">
        <v>36</v>
      </c>
      <c r="I43" s="11" t="s">
        <v>191</v>
      </c>
      <c r="J43" s="12" t="s">
        <v>192</v>
      </c>
      <c r="K43" s="13" t="s">
        <v>39</v>
      </c>
      <c r="L43" s="11" t="str">
        <f>"000206"</f>
        <v>000206</v>
      </c>
      <c r="M43" s="10">
        <v>43150</v>
      </c>
      <c r="N43" s="11" t="str">
        <f>"000129"</f>
        <v>000129</v>
      </c>
      <c r="O43" s="10">
        <v>43151</v>
      </c>
      <c r="P43" s="11" t="str">
        <f>"000197"</f>
        <v>000197</v>
      </c>
      <c r="Q43" s="10">
        <v>43151</v>
      </c>
      <c r="R43" s="11">
        <v>18</v>
      </c>
      <c r="S43" s="11" t="str">
        <f>"007188"</f>
        <v>007188</v>
      </c>
      <c r="T43" s="10">
        <v>43404</v>
      </c>
      <c r="U43" s="14">
        <v>16.649260000000002</v>
      </c>
      <c r="V43" s="14">
        <v>1.96461</v>
      </c>
      <c r="W43" s="14">
        <v>14.68465</v>
      </c>
      <c r="X43" s="11">
        <v>261</v>
      </c>
      <c r="Y43" s="10">
        <v>43418</v>
      </c>
      <c r="Z43" s="11">
        <v>9916950205</v>
      </c>
      <c r="AA43" s="12" t="s">
        <v>71</v>
      </c>
      <c r="AB43" s="11" t="s">
        <v>187</v>
      </c>
      <c r="AC43" s="12" t="s">
        <v>188</v>
      </c>
      <c r="AD43" s="11" t="s">
        <v>43</v>
      </c>
      <c r="AE43" s="12" t="s">
        <v>44</v>
      </c>
      <c r="AF43" s="14">
        <f t="shared" si="0"/>
        <v>0.16649260000000002</v>
      </c>
      <c r="AG43" s="11" t="s">
        <v>45</v>
      </c>
    </row>
    <row r="44" spans="1:33" x14ac:dyDescent="0.2">
      <c r="A44" s="8">
        <v>7165</v>
      </c>
      <c r="B44" s="9" t="s">
        <v>184</v>
      </c>
      <c r="C44" s="10">
        <v>43418</v>
      </c>
      <c r="D44" s="11">
        <v>139</v>
      </c>
      <c r="E44" s="12" t="s">
        <v>34</v>
      </c>
      <c r="F44" s="12" t="s">
        <v>35</v>
      </c>
      <c r="G44" s="12" t="s">
        <v>35</v>
      </c>
      <c r="H44" s="12" t="s">
        <v>36</v>
      </c>
      <c r="I44" s="11" t="s">
        <v>193</v>
      </c>
      <c r="J44" s="12" t="s">
        <v>194</v>
      </c>
      <c r="K44" s="13" t="s">
        <v>39</v>
      </c>
      <c r="L44" s="11" t="str">
        <f>"000202"</f>
        <v>000202</v>
      </c>
      <c r="M44" s="10">
        <v>43150</v>
      </c>
      <c r="N44" s="11" t="str">
        <f>"000115"</f>
        <v>000115</v>
      </c>
      <c r="O44" s="10">
        <v>43151</v>
      </c>
      <c r="P44" s="11" t="str">
        <f>"000198"</f>
        <v>000198</v>
      </c>
      <c r="Q44" s="10">
        <v>43151</v>
      </c>
      <c r="R44" s="11">
        <v>18</v>
      </c>
      <c r="S44" s="11" t="str">
        <f>"007189"</f>
        <v>007189</v>
      </c>
      <c r="T44" s="10">
        <v>43404</v>
      </c>
      <c r="U44" s="14">
        <v>16.646380000000001</v>
      </c>
      <c r="V44" s="14">
        <v>1.9642599999999999</v>
      </c>
      <c r="W44" s="14">
        <v>14.682119999999999</v>
      </c>
      <c r="X44" s="11">
        <v>261</v>
      </c>
      <c r="Y44" s="10">
        <v>43418</v>
      </c>
      <c r="Z44" s="11">
        <v>9916950205</v>
      </c>
      <c r="AA44" s="12" t="s">
        <v>67</v>
      </c>
      <c r="AB44" s="11" t="s">
        <v>187</v>
      </c>
      <c r="AC44" s="12" t="s">
        <v>188</v>
      </c>
      <c r="AD44" s="11" t="s">
        <v>43</v>
      </c>
      <c r="AE44" s="12" t="s">
        <v>44</v>
      </c>
      <c r="AF44" s="14">
        <f t="shared" si="0"/>
        <v>0.1664638</v>
      </c>
      <c r="AG44" s="11" t="s">
        <v>45</v>
      </c>
    </row>
    <row r="45" spans="1:33" x14ac:dyDescent="0.2">
      <c r="A45" s="8">
        <v>7166</v>
      </c>
      <c r="B45" s="9" t="s">
        <v>184</v>
      </c>
      <c r="C45" s="10">
        <v>43418</v>
      </c>
      <c r="D45" s="11">
        <v>139</v>
      </c>
      <c r="E45" s="12" t="s">
        <v>34</v>
      </c>
      <c r="F45" s="12" t="s">
        <v>35</v>
      </c>
      <c r="G45" s="12" t="s">
        <v>35</v>
      </c>
      <c r="H45" s="12" t="s">
        <v>36</v>
      </c>
      <c r="I45" s="11" t="s">
        <v>195</v>
      </c>
      <c r="J45" s="12" t="s">
        <v>196</v>
      </c>
      <c r="K45" s="13" t="s">
        <v>39</v>
      </c>
      <c r="L45" s="11" t="str">
        <f>"000204"</f>
        <v>000204</v>
      </c>
      <c r="M45" s="10">
        <v>43150</v>
      </c>
      <c r="N45" s="11" t="str">
        <f>"000136"</f>
        <v>000136</v>
      </c>
      <c r="O45" s="10">
        <v>43151</v>
      </c>
      <c r="P45" s="11" t="str">
        <f>"000201"</f>
        <v>000201</v>
      </c>
      <c r="Q45" s="10">
        <v>43151</v>
      </c>
      <c r="R45" s="11">
        <v>18</v>
      </c>
      <c r="S45" s="11" t="str">
        <f>"007192"</f>
        <v>007192</v>
      </c>
      <c r="T45" s="10">
        <v>43404</v>
      </c>
      <c r="U45" s="14">
        <v>16.650169999999999</v>
      </c>
      <c r="V45" s="14">
        <v>1.96471</v>
      </c>
      <c r="W45" s="14">
        <v>14.685460000000001</v>
      </c>
      <c r="X45" s="11">
        <v>261</v>
      </c>
      <c r="Y45" s="10">
        <v>43418</v>
      </c>
      <c r="Z45" s="11">
        <v>9916950205</v>
      </c>
      <c r="AA45" s="12" t="s">
        <v>71</v>
      </c>
      <c r="AB45" s="11" t="s">
        <v>187</v>
      </c>
      <c r="AC45" s="12" t="s">
        <v>188</v>
      </c>
      <c r="AD45" s="11" t="s">
        <v>43</v>
      </c>
      <c r="AE45" s="12" t="s">
        <v>44</v>
      </c>
      <c r="AF45" s="14">
        <f t="shared" si="0"/>
        <v>0.1665017</v>
      </c>
      <c r="AG45" s="11" t="s">
        <v>45</v>
      </c>
    </row>
    <row r="46" spans="1:33" x14ac:dyDescent="0.2">
      <c r="A46" s="8">
        <v>7167</v>
      </c>
      <c r="B46" s="9" t="s">
        <v>184</v>
      </c>
      <c r="C46" s="10">
        <v>43418</v>
      </c>
      <c r="D46" s="11">
        <v>139</v>
      </c>
      <c r="E46" s="12" t="s">
        <v>34</v>
      </c>
      <c r="F46" s="12" t="s">
        <v>35</v>
      </c>
      <c r="G46" s="12" t="s">
        <v>35</v>
      </c>
      <c r="H46" s="12" t="s">
        <v>36</v>
      </c>
      <c r="I46" s="11" t="s">
        <v>197</v>
      </c>
      <c r="J46" s="12" t="s">
        <v>198</v>
      </c>
      <c r="K46" s="13" t="s">
        <v>39</v>
      </c>
      <c r="L46" s="11" t="str">
        <f>"000208"</f>
        <v>000208</v>
      </c>
      <c r="M46" s="10">
        <v>43150</v>
      </c>
      <c r="N46" s="11" t="str">
        <f>"000135"</f>
        <v>000135</v>
      </c>
      <c r="O46" s="10">
        <v>43151</v>
      </c>
      <c r="P46" s="11" t="str">
        <f>"000202"</f>
        <v>000202</v>
      </c>
      <c r="Q46" s="10">
        <v>43151</v>
      </c>
      <c r="R46" s="11">
        <v>18</v>
      </c>
      <c r="S46" s="11" t="str">
        <f>"007193"</f>
        <v>007193</v>
      </c>
      <c r="T46" s="10">
        <v>43404</v>
      </c>
      <c r="U46" s="14">
        <v>16.649260000000002</v>
      </c>
      <c r="V46" s="14">
        <v>1.96461</v>
      </c>
      <c r="W46" s="14">
        <v>14.68465</v>
      </c>
      <c r="X46" s="11">
        <v>261</v>
      </c>
      <c r="Y46" s="10">
        <v>43418</v>
      </c>
      <c r="Z46" s="11">
        <v>9916950205</v>
      </c>
      <c r="AA46" s="12" t="s">
        <v>71</v>
      </c>
      <c r="AB46" s="11" t="s">
        <v>187</v>
      </c>
      <c r="AC46" s="12" t="s">
        <v>188</v>
      </c>
      <c r="AD46" s="11" t="s">
        <v>43</v>
      </c>
      <c r="AE46" s="12" t="s">
        <v>44</v>
      </c>
      <c r="AF46" s="14">
        <f t="shared" si="0"/>
        <v>0.16649260000000002</v>
      </c>
      <c r="AG46" s="11" t="s">
        <v>45</v>
      </c>
    </row>
    <row r="47" spans="1:33" x14ac:dyDescent="0.2">
      <c r="A47" s="8">
        <v>7168</v>
      </c>
      <c r="B47" s="9" t="s">
        <v>184</v>
      </c>
      <c r="C47" s="10">
        <v>43418</v>
      </c>
      <c r="D47" s="11">
        <v>139</v>
      </c>
      <c r="E47" s="12" t="s">
        <v>34</v>
      </c>
      <c r="F47" s="12" t="s">
        <v>35</v>
      </c>
      <c r="G47" s="12" t="s">
        <v>35</v>
      </c>
      <c r="H47" s="12" t="s">
        <v>36</v>
      </c>
      <c r="I47" s="11" t="s">
        <v>199</v>
      </c>
      <c r="J47" s="12" t="s">
        <v>200</v>
      </c>
      <c r="K47" s="13" t="s">
        <v>39</v>
      </c>
      <c r="L47" s="11" t="str">
        <f>"000200"</f>
        <v>000200</v>
      </c>
      <c r="M47" s="10">
        <v>43150</v>
      </c>
      <c r="N47" s="11" t="str">
        <f>"000134"</f>
        <v>000134</v>
      </c>
      <c r="O47" s="10">
        <v>43151</v>
      </c>
      <c r="P47" s="11" t="str">
        <f>"000203"</f>
        <v>000203</v>
      </c>
      <c r="Q47" s="10">
        <v>43151</v>
      </c>
      <c r="R47" s="11">
        <v>18</v>
      </c>
      <c r="S47" s="11" t="str">
        <f>"007194"</f>
        <v>007194</v>
      </c>
      <c r="T47" s="10">
        <v>43404</v>
      </c>
      <c r="U47" s="14">
        <v>16.647480000000002</v>
      </c>
      <c r="V47" s="14">
        <v>1.9643900000000001</v>
      </c>
      <c r="W47" s="14">
        <v>14.68309</v>
      </c>
      <c r="X47" s="11">
        <v>261</v>
      </c>
      <c r="Y47" s="10">
        <v>43418</v>
      </c>
      <c r="Z47" s="11">
        <v>9916950205</v>
      </c>
      <c r="AA47" s="12" t="s">
        <v>71</v>
      </c>
      <c r="AB47" s="11" t="s">
        <v>187</v>
      </c>
      <c r="AC47" s="12" t="s">
        <v>188</v>
      </c>
      <c r="AD47" s="11" t="s">
        <v>43</v>
      </c>
      <c r="AE47" s="12" t="s">
        <v>44</v>
      </c>
      <c r="AF47" s="14">
        <f t="shared" si="0"/>
        <v>0.16647480000000001</v>
      </c>
      <c r="AG47" s="11" t="s">
        <v>45</v>
      </c>
    </row>
    <row r="48" spans="1:33" x14ac:dyDescent="0.2">
      <c r="A48" s="8">
        <v>7169</v>
      </c>
      <c r="B48" s="9" t="s">
        <v>184</v>
      </c>
      <c r="C48" s="10">
        <v>43418</v>
      </c>
      <c r="D48" s="11">
        <v>139</v>
      </c>
      <c r="E48" s="12" t="s">
        <v>34</v>
      </c>
      <c r="F48" s="12" t="s">
        <v>35</v>
      </c>
      <c r="G48" s="12" t="s">
        <v>35</v>
      </c>
      <c r="H48" s="12" t="s">
        <v>36</v>
      </c>
      <c r="I48" s="11" t="s">
        <v>201</v>
      </c>
      <c r="J48" s="12" t="s">
        <v>202</v>
      </c>
      <c r="K48" s="13" t="s">
        <v>39</v>
      </c>
      <c r="L48" s="11" t="str">
        <f>"000199"</f>
        <v>000199</v>
      </c>
      <c r="M48" s="10">
        <v>43150</v>
      </c>
      <c r="N48" s="11" t="str">
        <f>"000132"</f>
        <v>000132</v>
      </c>
      <c r="O48" s="10">
        <v>43151</v>
      </c>
      <c r="P48" s="11" t="str">
        <f>"000204"</f>
        <v>000204</v>
      </c>
      <c r="Q48" s="10">
        <v>43151</v>
      </c>
      <c r="R48" s="11">
        <v>18</v>
      </c>
      <c r="S48" s="11" t="str">
        <f>"007196"</f>
        <v>007196</v>
      </c>
      <c r="T48" s="10">
        <v>43404</v>
      </c>
      <c r="U48" s="14">
        <v>16.648070000000001</v>
      </c>
      <c r="V48" s="14">
        <v>1.9644699999999999</v>
      </c>
      <c r="W48" s="14">
        <v>14.6836</v>
      </c>
      <c r="X48" s="11">
        <v>261</v>
      </c>
      <c r="Y48" s="10">
        <v>43418</v>
      </c>
      <c r="Z48" s="11">
        <v>9916950205</v>
      </c>
      <c r="AA48" s="12" t="s">
        <v>67</v>
      </c>
      <c r="AB48" s="11" t="s">
        <v>187</v>
      </c>
      <c r="AC48" s="12" t="s">
        <v>188</v>
      </c>
      <c r="AD48" s="11" t="s">
        <v>43</v>
      </c>
      <c r="AE48" s="12" t="s">
        <v>44</v>
      </c>
      <c r="AF48" s="14">
        <f t="shared" si="0"/>
        <v>0.16648070000000001</v>
      </c>
      <c r="AG48" s="11" t="s">
        <v>45</v>
      </c>
    </row>
    <row r="49" spans="1:33" x14ac:dyDescent="0.2">
      <c r="A49" s="8">
        <v>7170</v>
      </c>
      <c r="B49" s="9" t="s">
        <v>184</v>
      </c>
      <c r="C49" s="10">
        <v>43418</v>
      </c>
      <c r="D49" s="11">
        <v>139</v>
      </c>
      <c r="E49" s="12" t="s">
        <v>34</v>
      </c>
      <c r="F49" s="12" t="s">
        <v>35</v>
      </c>
      <c r="G49" s="12" t="s">
        <v>35</v>
      </c>
      <c r="H49" s="12" t="s">
        <v>36</v>
      </c>
      <c r="I49" s="11" t="s">
        <v>203</v>
      </c>
      <c r="J49" s="12" t="s">
        <v>204</v>
      </c>
      <c r="K49" s="13" t="s">
        <v>39</v>
      </c>
      <c r="L49" s="11" t="str">
        <f>"000203"</f>
        <v>000203</v>
      </c>
      <c r="M49" s="10">
        <v>43150</v>
      </c>
      <c r="N49" s="11" t="str">
        <f>"000133"</f>
        <v>000133</v>
      </c>
      <c r="O49" s="10">
        <v>43151</v>
      </c>
      <c r="P49" s="11" t="str">
        <f>"000205"</f>
        <v>000205</v>
      </c>
      <c r="Q49" s="10">
        <v>43151</v>
      </c>
      <c r="R49" s="11">
        <v>18</v>
      </c>
      <c r="S49" s="11" t="str">
        <f>"007200"</f>
        <v>007200</v>
      </c>
      <c r="T49" s="10">
        <v>43404</v>
      </c>
      <c r="U49" s="14">
        <v>16.648820000000001</v>
      </c>
      <c r="V49" s="14">
        <v>1.9645699999999999</v>
      </c>
      <c r="W49" s="14">
        <v>14.68425</v>
      </c>
      <c r="X49" s="11">
        <v>261</v>
      </c>
      <c r="Y49" s="10">
        <v>43418</v>
      </c>
      <c r="Z49" s="11">
        <v>9916950205</v>
      </c>
      <c r="AA49" s="12" t="s">
        <v>67</v>
      </c>
      <c r="AB49" s="11" t="s">
        <v>187</v>
      </c>
      <c r="AC49" s="12" t="s">
        <v>188</v>
      </c>
      <c r="AD49" s="11" t="s">
        <v>43</v>
      </c>
      <c r="AE49" s="12" t="s">
        <v>44</v>
      </c>
      <c r="AF49" s="14">
        <f t="shared" si="0"/>
        <v>0.1664882</v>
      </c>
      <c r="AG49" s="11" t="s">
        <v>45</v>
      </c>
    </row>
    <row r="50" spans="1:33" x14ac:dyDescent="0.2">
      <c r="A50" s="8">
        <v>7171</v>
      </c>
      <c r="B50" s="9" t="s">
        <v>184</v>
      </c>
      <c r="C50" s="10">
        <v>43418</v>
      </c>
      <c r="D50" s="11">
        <v>139</v>
      </c>
      <c r="E50" s="12" t="s">
        <v>34</v>
      </c>
      <c r="F50" s="12" t="s">
        <v>35</v>
      </c>
      <c r="G50" s="12" t="s">
        <v>35</v>
      </c>
      <c r="H50" s="12" t="s">
        <v>36</v>
      </c>
      <c r="I50" s="11" t="s">
        <v>205</v>
      </c>
      <c r="J50" s="12" t="s">
        <v>206</v>
      </c>
      <c r="K50" s="13" t="s">
        <v>207</v>
      </c>
      <c r="L50" s="11" t="str">
        <f>"000198"</f>
        <v>000198</v>
      </c>
      <c r="M50" s="10">
        <v>43150</v>
      </c>
      <c r="N50" s="11" t="str">
        <f>"000126"</f>
        <v>000126</v>
      </c>
      <c r="O50" s="10">
        <v>43151</v>
      </c>
      <c r="P50" s="11" t="str">
        <f>"000206"</f>
        <v>000206</v>
      </c>
      <c r="Q50" s="10">
        <v>43151</v>
      </c>
      <c r="R50" s="11">
        <v>18</v>
      </c>
      <c r="S50" s="11" t="str">
        <f>"007204"</f>
        <v>007204</v>
      </c>
      <c r="T50" s="10">
        <v>43404</v>
      </c>
      <c r="U50" s="14">
        <v>22.188880000000001</v>
      </c>
      <c r="V50" s="14">
        <v>2.7292399999999999</v>
      </c>
      <c r="W50" s="14">
        <v>19.45964</v>
      </c>
      <c r="X50" s="11">
        <v>261</v>
      </c>
      <c r="Y50" s="10">
        <v>43418</v>
      </c>
      <c r="Z50" s="11">
        <v>9916950205</v>
      </c>
      <c r="AA50" s="12" t="s">
        <v>71</v>
      </c>
      <c r="AB50" s="11" t="s">
        <v>208</v>
      </c>
      <c r="AC50" s="12" t="s">
        <v>209</v>
      </c>
      <c r="AD50" s="11" t="s">
        <v>43</v>
      </c>
      <c r="AE50" s="12" t="s">
        <v>44</v>
      </c>
      <c r="AF50" s="14">
        <f t="shared" si="0"/>
        <v>0.2218888</v>
      </c>
      <c r="AG50" s="11" t="s">
        <v>45</v>
      </c>
    </row>
    <row r="51" spans="1:33" x14ac:dyDescent="0.2">
      <c r="A51" s="8">
        <v>7347</v>
      </c>
      <c r="B51" s="9" t="s">
        <v>184</v>
      </c>
      <c r="C51" s="10">
        <v>43424</v>
      </c>
      <c r="D51" s="11">
        <v>139</v>
      </c>
      <c r="E51" s="12" t="s">
        <v>34</v>
      </c>
      <c r="F51" s="12" t="s">
        <v>35</v>
      </c>
      <c r="G51" s="12" t="s">
        <v>35</v>
      </c>
      <c r="H51" s="12" t="s">
        <v>36</v>
      </c>
      <c r="I51" s="11" t="s">
        <v>210</v>
      </c>
      <c r="J51" s="12" t="s">
        <v>211</v>
      </c>
      <c r="K51" s="13" t="s">
        <v>212</v>
      </c>
      <c r="L51" s="11" t="str">
        <f>"000087"</f>
        <v>000087</v>
      </c>
      <c r="M51" s="10">
        <v>43218</v>
      </c>
      <c r="N51" s="11" t="str">
        <f>"000057"</f>
        <v>000057</v>
      </c>
      <c r="O51" s="10">
        <v>43218</v>
      </c>
      <c r="P51" s="11" t="str">
        <f>"000076"</f>
        <v>000076</v>
      </c>
      <c r="Q51" s="10">
        <v>43218</v>
      </c>
      <c r="R51" s="11">
        <v>18</v>
      </c>
      <c r="S51" s="11" t="str">
        <f>"007223"</f>
        <v>007223</v>
      </c>
      <c r="T51" s="10">
        <v>43404</v>
      </c>
      <c r="U51" s="14">
        <v>44.396140000000003</v>
      </c>
      <c r="V51" s="14">
        <v>4.5728</v>
      </c>
      <c r="W51" s="14">
        <v>39.823340000000002</v>
      </c>
      <c r="X51" s="11">
        <v>271</v>
      </c>
      <c r="Y51" s="10">
        <v>43424</v>
      </c>
      <c r="Z51" s="11">
        <v>9916950205</v>
      </c>
      <c r="AA51" s="12" t="s">
        <v>67</v>
      </c>
      <c r="AB51" s="11" t="s">
        <v>213</v>
      </c>
      <c r="AC51" s="12" t="s">
        <v>214</v>
      </c>
      <c r="AD51" s="11" t="s">
        <v>43</v>
      </c>
      <c r="AE51" s="12" t="s">
        <v>44</v>
      </c>
      <c r="AF51" s="14">
        <f t="shared" si="0"/>
        <v>0.44396140000000001</v>
      </c>
      <c r="AG51" s="11" t="s">
        <v>64</v>
      </c>
    </row>
    <row r="52" spans="1:33" x14ac:dyDescent="0.2">
      <c r="A52" s="8">
        <v>7778</v>
      </c>
      <c r="B52" s="9" t="s">
        <v>215</v>
      </c>
      <c r="C52" s="10">
        <v>43448</v>
      </c>
      <c r="D52" s="11">
        <v>139</v>
      </c>
      <c r="E52" s="12" t="s">
        <v>34</v>
      </c>
      <c r="F52" s="12" t="s">
        <v>35</v>
      </c>
      <c r="G52" s="12" t="s">
        <v>35</v>
      </c>
      <c r="H52" s="12" t="s">
        <v>36</v>
      </c>
      <c r="I52" s="11" t="s">
        <v>216</v>
      </c>
      <c r="J52" s="12" t="s">
        <v>217</v>
      </c>
      <c r="K52" s="13" t="s">
        <v>76</v>
      </c>
      <c r="L52" s="11" t="str">
        <f>"000282"</f>
        <v>000282</v>
      </c>
      <c r="M52" s="10">
        <v>42429</v>
      </c>
      <c r="N52" s="11" t="str">
        <f>"000321"</f>
        <v>000321</v>
      </c>
      <c r="O52" s="10">
        <v>42720</v>
      </c>
      <c r="P52" s="11" t="str">
        <f>"000615"</f>
        <v>000615</v>
      </c>
      <c r="Q52" s="10">
        <v>42733</v>
      </c>
      <c r="R52" s="11">
        <v>16</v>
      </c>
      <c r="S52" s="11" t="str">
        <f>"007859"</f>
        <v>007859</v>
      </c>
      <c r="T52" s="10">
        <v>43444</v>
      </c>
      <c r="U52" s="14">
        <v>4.9490400000000001</v>
      </c>
      <c r="V52" s="14">
        <v>0.61051</v>
      </c>
      <c r="W52" s="14">
        <v>4.3385300000000004</v>
      </c>
      <c r="X52" s="11">
        <v>291</v>
      </c>
      <c r="Y52" s="10">
        <v>43448</v>
      </c>
      <c r="Z52" s="11">
        <v>9886296777</v>
      </c>
      <c r="AA52" s="12" t="s">
        <v>218</v>
      </c>
      <c r="AB52" s="11" t="s">
        <v>78</v>
      </c>
      <c r="AC52" s="12" t="s">
        <v>79</v>
      </c>
      <c r="AD52" s="11" t="s">
        <v>43</v>
      </c>
      <c r="AE52" s="12" t="s">
        <v>44</v>
      </c>
      <c r="AF52" s="14">
        <f t="shared" si="0"/>
        <v>4.9490400000000004E-2</v>
      </c>
      <c r="AG52" s="11" t="s">
        <v>45</v>
      </c>
    </row>
    <row r="53" spans="1:33" x14ac:dyDescent="0.2">
      <c r="A53" s="8">
        <v>7779</v>
      </c>
      <c r="B53" s="9" t="s">
        <v>215</v>
      </c>
      <c r="C53" s="10">
        <v>43448</v>
      </c>
      <c r="D53" s="11">
        <v>139</v>
      </c>
      <c r="E53" s="12" t="s">
        <v>34</v>
      </c>
      <c r="F53" s="12" t="s">
        <v>35</v>
      </c>
      <c r="G53" s="12" t="s">
        <v>35</v>
      </c>
      <c r="H53" s="12" t="s">
        <v>36</v>
      </c>
      <c r="I53" s="11" t="s">
        <v>219</v>
      </c>
      <c r="J53" s="12" t="s">
        <v>220</v>
      </c>
      <c r="K53" s="13" t="s">
        <v>76</v>
      </c>
      <c r="L53" s="11" t="str">
        <f>"000239"</f>
        <v>000239</v>
      </c>
      <c r="M53" s="10">
        <v>41556</v>
      </c>
      <c r="N53" s="11" t="str">
        <f>"000093"</f>
        <v>000093</v>
      </c>
      <c r="O53" s="10">
        <v>43400</v>
      </c>
      <c r="P53" s="11" t="str">
        <f>"000209"</f>
        <v>000209</v>
      </c>
      <c r="Q53" s="10">
        <v>41850</v>
      </c>
      <c r="R53" s="11">
        <v>13</v>
      </c>
      <c r="S53" s="11" t="str">
        <f>"007983"</f>
        <v>007983</v>
      </c>
      <c r="T53" s="10">
        <v>43448</v>
      </c>
      <c r="U53" s="14">
        <v>55.407260000000001</v>
      </c>
      <c r="V53" s="14">
        <v>8.5326900000000006</v>
      </c>
      <c r="W53" s="14">
        <v>46.874569999999999</v>
      </c>
      <c r="X53" s="11">
        <v>291</v>
      </c>
      <c r="Y53" s="10">
        <v>43448</v>
      </c>
      <c r="Z53" s="11">
        <v>9945417770</v>
      </c>
      <c r="AA53" s="12" t="s">
        <v>157</v>
      </c>
      <c r="AB53" s="11" t="s">
        <v>221</v>
      </c>
      <c r="AC53" s="12" t="s">
        <v>222</v>
      </c>
      <c r="AD53" s="11" t="s">
        <v>43</v>
      </c>
      <c r="AE53" s="12" t="s">
        <v>44</v>
      </c>
      <c r="AF53" s="14">
        <f t="shared" si="0"/>
        <v>0.55407260000000003</v>
      </c>
      <c r="AG53" s="11" t="s">
        <v>125</v>
      </c>
    </row>
    <row r="54" spans="1:33" x14ac:dyDescent="0.2">
      <c r="A54" s="8">
        <v>7780</v>
      </c>
      <c r="B54" s="9" t="s">
        <v>215</v>
      </c>
      <c r="C54" s="10">
        <v>43448</v>
      </c>
      <c r="D54" s="11">
        <v>139</v>
      </c>
      <c r="E54" s="12" t="s">
        <v>34</v>
      </c>
      <c r="F54" s="12" t="s">
        <v>35</v>
      </c>
      <c r="G54" s="12" t="s">
        <v>35</v>
      </c>
      <c r="H54" s="12" t="s">
        <v>36</v>
      </c>
      <c r="I54" s="11" t="s">
        <v>223</v>
      </c>
      <c r="J54" s="12" t="s">
        <v>224</v>
      </c>
      <c r="K54" s="13" t="s">
        <v>76</v>
      </c>
      <c r="L54" s="11" t="str">
        <f>"000248"</f>
        <v>000248</v>
      </c>
      <c r="M54" s="10">
        <v>41556</v>
      </c>
      <c r="N54" s="11" t="str">
        <f>"000090"</f>
        <v>000090</v>
      </c>
      <c r="O54" s="10">
        <v>43400</v>
      </c>
      <c r="P54" s="11" t="str">
        <f>"000210"</f>
        <v>000210</v>
      </c>
      <c r="Q54" s="10">
        <v>41850</v>
      </c>
      <c r="R54" s="11">
        <v>13</v>
      </c>
      <c r="S54" s="11" t="str">
        <f>"007984"</f>
        <v>007984</v>
      </c>
      <c r="T54" s="10">
        <v>43448</v>
      </c>
      <c r="U54" s="14">
        <v>55.404539999999997</v>
      </c>
      <c r="V54" s="14">
        <v>8.5322800000000001</v>
      </c>
      <c r="W54" s="14">
        <v>46.872259999999997</v>
      </c>
      <c r="X54" s="11">
        <v>291</v>
      </c>
      <c r="Y54" s="10">
        <v>43448</v>
      </c>
      <c r="Z54" s="11">
        <v>9945417770</v>
      </c>
      <c r="AA54" s="12" t="s">
        <v>157</v>
      </c>
      <c r="AB54" s="11" t="s">
        <v>221</v>
      </c>
      <c r="AC54" s="12" t="s">
        <v>222</v>
      </c>
      <c r="AD54" s="11" t="s">
        <v>43</v>
      </c>
      <c r="AE54" s="12" t="s">
        <v>44</v>
      </c>
      <c r="AF54" s="14">
        <f t="shared" si="0"/>
        <v>0.55404540000000002</v>
      </c>
      <c r="AG54" s="11" t="s">
        <v>125</v>
      </c>
    </row>
    <row r="55" spans="1:33" x14ac:dyDescent="0.2">
      <c r="A55" s="8">
        <v>7781</v>
      </c>
      <c r="B55" s="9" t="s">
        <v>215</v>
      </c>
      <c r="C55" s="10">
        <v>43448</v>
      </c>
      <c r="D55" s="11">
        <v>139</v>
      </c>
      <c r="E55" s="12" t="s">
        <v>34</v>
      </c>
      <c r="F55" s="12" t="s">
        <v>35</v>
      </c>
      <c r="G55" s="12" t="s">
        <v>35</v>
      </c>
      <c r="H55" s="12" t="s">
        <v>36</v>
      </c>
      <c r="I55" s="11" t="s">
        <v>225</v>
      </c>
      <c r="J55" s="12" t="s">
        <v>226</v>
      </c>
      <c r="K55" s="13" t="s">
        <v>76</v>
      </c>
      <c r="L55" s="11" t="str">
        <f>"000249"</f>
        <v>000249</v>
      </c>
      <c r="M55" s="10">
        <v>41556</v>
      </c>
      <c r="N55" s="11" t="str">
        <f>"000091"</f>
        <v>000091</v>
      </c>
      <c r="O55" s="10">
        <v>43400</v>
      </c>
      <c r="P55" s="11" t="str">
        <f>"000211"</f>
        <v>000211</v>
      </c>
      <c r="Q55" s="10">
        <v>41850</v>
      </c>
      <c r="R55" s="11">
        <v>13</v>
      </c>
      <c r="S55" s="11" t="str">
        <f>"007987"</f>
        <v>007987</v>
      </c>
      <c r="T55" s="10">
        <v>43448</v>
      </c>
      <c r="U55" s="14">
        <v>55.400669999999998</v>
      </c>
      <c r="V55" s="14">
        <v>8.5316799999999997</v>
      </c>
      <c r="W55" s="14">
        <v>46.868989999999997</v>
      </c>
      <c r="X55" s="11">
        <v>291</v>
      </c>
      <c r="Y55" s="10">
        <v>43448</v>
      </c>
      <c r="Z55" s="11">
        <v>9945417770</v>
      </c>
      <c r="AA55" s="12" t="s">
        <v>157</v>
      </c>
      <c r="AB55" s="11" t="s">
        <v>221</v>
      </c>
      <c r="AC55" s="12" t="s">
        <v>222</v>
      </c>
      <c r="AD55" s="11" t="s">
        <v>43</v>
      </c>
      <c r="AE55" s="12" t="s">
        <v>44</v>
      </c>
      <c r="AF55" s="14">
        <f t="shared" si="0"/>
        <v>0.55400669999999996</v>
      </c>
      <c r="AG55" s="11" t="s">
        <v>125</v>
      </c>
    </row>
    <row r="56" spans="1:33" x14ac:dyDescent="0.2">
      <c r="A56" s="8">
        <v>7782</v>
      </c>
      <c r="B56" s="9" t="s">
        <v>215</v>
      </c>
      <c r="C56" s="10">
        <v>43448</v>
      </c>
      <c r="D56" s="11">
        <v>139</v>
      </c>
      <c r="E56" s="12" t="s">
        <v>34</v>
      </c>
      <c r="F56" s="12" t="s">
        <v>35</v>
      </c>
      <c r="G56" s="12" t="s">
        <v>35</v>
      </c>
      <c r="H56" s="12" t="s">
        <v>36</v>
      </c>
      <c r="I56" s="11" t="s">
        <v>227</v>
      </c>
      <c r="J56" s="12" t="s">
        <v>228</v>
      </c>
      <c r="K56" s="13" t="s">
        <v>76</v>
      </c>
      <c r="L56" s="11" t="str">
        <f>"000784"</f>
        <v>000784</v>
      </c>
      <c r="M56" s="10">
        <v>41556</v>
      </c>
      <c r="N56" s="11" t="str">
        <f>"000098"</f>
        <v>000098</v>
      </c>
      <c r="O56" s="10">
        <v>43403</v>
      </c>
      <c r="P56" s="11" t="str">
        <f>"000216"</f>
        <v>000216</v>
      </c>
      <c r="Q56" s="10">
        <v>41850</v>
      </c>
      <c r="R56" s="11">
        <v>13</v>
      </c>
      <c r="S56" s="11" t="str">
        <f>"007989"</f>
        <v>007989</v>
      </c>
      <c r="T56" s="10">
        <v>43448</v>
      </c>
      <c r="U56" s="14">
        <v>55.310319999999997</v>
      </c>
      <c r="V56" s="14">
        <v>8.5177700000000005</v>
      </c>
      <c r="W56" s="14">
        <v>46.792549999999999</v>
      </c>
      <c r="X56" s="11">
        <v>291</v>
      </c>
      <c r="Y56" s="10">
        <v>43448</v>
      </c>
      <c r="Z56" s="11">
        <v>1234567890</v>
      </c>
      <c r="AA56" s="12" t="s">
        <v>229</v>
      </c>
      <c r="AB56" s="11" t="s">
        <v>221</v>
      </c>
      <c r="AC56" s="12" t="s">
        <v>222</v>
      </c>
      <c r="AD56" s="11" t="s">
        <v>43</v>
      </c>
      <c r="AE56" s="12" t="s">
        <v>44</v>
      </c>
      <c r="AF56" s="14">
        <f t="shared" si="0"/>
        <v>0.55310320000000002</v>
      </c>
      <c r="AG56" s="11" t="s">
        <v>125</v>
      </c>
    </row>
    <row r="57" spans="1:33" x14ac:dyDescent="0.2">
      <c r="A57" s="8">
        <v>7783</v>
      </c>
      <c r="B57" s="9" t="s">
        <v>215</v>
      </c>
      <c r="C57" s="10">
        <v>43448</v>
      </c>
      <c r="D57" s="11">
        <v>139</v>
      </c>
      <c r="E57" s="12" t="s">
        <v>34</v>
      </c>
      <c r="F57" s="12" t="s">
        <v>35</v>
      </c>
      <c r="G57" s="12" t="s">
        <v>35</v>
      </c>
      <c r="H57" s="12" t="s">
        <v>36</v>
      </c>
      <c r="I57" s="11" t="s">
        <v>230</v>
      </c>
      <c r="J57" s="12" t="s">
        <v>231</v>
      </c>
      <c r="K57" s="13" t="s">
        <v>76</v>
      </c>
      <c r="L57" s="11" t="str">
        <f>"000783"</f>
        <v>000783</v>
      </c>
      <c r="M57" s="10">
        <v>41556</v>
      </c>
      <c r="N57" s="11" t="str">
        <f>"000094"</f>
        <v>000094</v>
      </c>
      <c r="O57" s="10">
        <v>43400</v>
      </c>
      <c r="P57" s="11" t="str">
        <f>"000217"</f>
        <v>000217</v>
      </c>
      <c r="Q57" s="10">
        <v>41850</v>
      </c>
      <c r="R57" s="11">
        <v>13</v>
      </c>
      <c r="S57" s="11" t="str">
        <f>"007990"</f>
        <v>007990</v>
      </c>
      <c r="T57" s="10">
        <v>43448</v>
      </c>
      <c r="U57" s="14">
        <v>55.429879999999997</v>
      </c>
      <c r="V57" s="14">
        <v>8.5361600000000006</v>
      </c>
      <c r="W57" s="14">
        <v>46.893720000000002</v>
      </c>
      <c r="X57" s="11">
        <v>291</v>
      </c>
      <c r="Y57" s="10">
        <v>43448</v>
      </c>
      <c r="Z57" s="11">
        <v>9945417770</v>
      </c>
      <c r="AA57" s="12" t="s">
        <v>157</v>
      </c>
      <c r="AB57" s="11" t="s">
        <v>221</v>
      </c>
      <c r="AC57" s="12" t="s">
        <v>222</v>
      </c>
      <c r="AD57" s="11" t="s">
        <v>43</v>
      </c>
      <c r="AE57" s="12" t="s">
        <v>44</v>
      </c>
      <c r="AF57" s="14">
        <f t="shared" si="0"/>
        <v>0.55429879999999998</v>
      </c>
      <c r="AG57" s="11" t="s">
        <v>125</v>
      </c>
    </row>
    <row r="58" spans="1:33" x14ac:dyDescent="0.2">
      <c r="A58" s="8">
        <v>7784</v>
      </c>
      <c r="B58" s="9" t="s">
        <v>215</v>
      </c>
      <c r="C58" s="10">
        <v>43448</v>
      </c>
      <c r="D58" s="11">
        <v>139</v>
      </c>
      <c r="E58" s="12" t="s">
        <v>34</v>
      </c>
      <c r="F58" s="12" t="s">
        <v>35</v>
      </c>
      <c r="G58" s="12" t="s">
        <v>35</v>
      </c>
      <c r="H58" s="12" t="s">
        <v>36</v>
      </c>
      <c r="I58" s="11" t="s">
        <v>232</v>
      </c>
      <c r="J58" s="12" t="s">
        <v>233</v>
      </c>
      <c r="K58" s="13" t="s">
        <v>76</v>
      </c>
      <c r="L58" s="11" t="str">
        <f>"000282"</f>
        <v>000282</v>
      </c>
      <c r="M58" s="10">
        <v>43399</v>
      </c>
      <c r="N58" s="11" t="str">
        <f>"000096"</f>
        <v>000096</v>
      </c>
      <c r="O58" s="10">
        <v>43400</v>
      </c>
      <c r="P58" s="11" t="str">
        <f>"000602"</f>
        <v>000602</v>
      </c>
      <c r="Q58" s="10">
        <v>41999</v>
      </c>
      <c r="R58" s="11">
        <v>14</v>
      </c>
      <c r="S58" s="11" t="str">
        <f>"007993"</f>
        <v>007993</v>
      </c>
      <c r="T58" s="10">
        <v>43448</v>
      </c>
      <c r="U58" s="14">
        <v>10.08539</v>
      </c>
      <c r="V58" s="14">
        <v>1.26447</v>
      </c>
      <c r="W58" s="14">
        <v>8.8209199999999992</v>
      </c>
      <c r="X58" s="11">
        <v>291</v>
      </c>
      <c r="Y58" s="10">
        <v>43448</v>
      </c>
      <c r="Z58" s="11">
        <v>9945417770</v>
      </c>
      <c r="AA58" s="12" t="s">
        <v>234</v>
      </c>
      <c r="AB58" s="11" t="s">
        <v>78</v>
      </c>
      <c r="AC58" s="12" t="s">
        <v>79</v>
      </c>
      <c r="AD58" s="11" t="s">
        <v>43</v>
      </c>
      <c r="AE58" s="12" t="s">
        <v>44</v>
      </c>
      <c r="AF58" s="14">
        <f t="shared" si="0"/>
        <v>0.1008539</v>
      </c>
      <c r="AG58" s="11" t="s">
        <v>125</v>
      </c>
    </row>
    <row r="59" spans="1:33" x14ac:dyDescent="0.2">
      <c r="A59" s="8">
        <v>7785</v>
      </c>
      <c r="B59" s="9" t="s">
        <v>215</v>
      </c>
      <c r="C59" s="10">
        <v>43448</v>
      </c>
      <c r="D59" s="11">
        <v>139</v>
      </c>
      <c r="E59" s="12" t="s">
        <v>34</v>
      </c>
      <c r="F59" s="12" t="s">
        <v>35</v>
      </c>
      <c r="G59" s="12" t="s">
        <v>35</v>
      </c>
      <c r="H59" s="12" t="s">
        <v>36</v>
      </c>
      <c r="I59" s="11" t="s">
        <v>235</v>
      </c>
      <c r="J59" s="12" t="s">
        <v>236</v>
      </c>
      <c r="K59" s="13" t="s">
        <v>97</v>
      </c>
      <c r="L59" s="11" t="str">
        <f>"000157"</f>
        <v>000157</v>
      </c>
      <c r="M59" s="10">
        <v>41954</v>
      </c>
      <c r="N59" s="11" t="str">
        <f>"000095"</f>
        <v>000095</v>
      </c>
      <c r="O59" s="10">
        <v>43400</v>
      </c>
      <c r="P59" s="11" t="str">
        <f>"000606"</f>
        <v>000606</v>
      </c>
      <c r="Q59" s="10">
        <v>41999</v>
      </c>
      <c r="R59" s="11">
        <v>14</v>
      </c>
      <c r="S59" s="11" t="str">
        <f>"007995"</f>
        <v>007995</v>
      </c>
      <c r="T59" s="10">
        <v>43448</v>
      </c>
      <c r="U59" s="14">
        <v>10.092029999999999</v>
      </c>
      <c r="V59" s="14">
        <v>1.2683199999999999</v>
      </c>
      <c r="W59" s="14">
        <v>8.8237100000000002</v>
      </c>
      <c r="X59" s="11">
        <v>291</v>
      </c>
      <c r="Y59" s="10">
        <v>43448</v>
      </c>
      <c r="Z59" s="11">
        <v>9945417770</v>
      </c>
      <c r="AA59" s="12" t="s">
        <v>237</v>
      </c>
      <c r="AB59" s="11" t="s">
        <v>78</v>
      </c>
      <c r="AC59" s="12" t="s">
        <v>79</v>
      </c>
      <c r="AD59" s="11" t="s">
        <v>43</v>
      </c>
      <c r="AE59" s="12" t="s">
        <v>44</v>
      </c>
      <c r="AF59" s="14">
        <f t="shared" si="0"/>
        <v>0.10092029999999999</v>
      </c>
      <c r="AG59" s="11" t="s">
        <v>125</v>
      </c>
    </row>
    <row r="60" spans="1:33" x14ac:dyDescent="0.2">
      <c r="A60" s="8">
        <v>7786</v>
      </c>
      <c r="B60" s="9" t="s">
        <v>215</v>
      </c>
      <c r="C60" s="10">
        <v>43448</v>
      </c>
      <c r="D60" s="11">
        <v>139</v>
      </c>
      <c r="E60" s="12" t="s">
        <v>34</v>
      </c>
      <c r="F60" s="12" t="s">
        <v>35</v>
      </c>
      <c r="G60" s="12" t="s">
        <v>35</v>
      </c>
      <c r="H60" s="12" t="s">
        <v>36</v>
      </c>
      <c r="I60" s="11" t="s">
        <v>238</v>
      </c>
      <c r="J60" s="12" t="s">
        <v>239</v>
      </c>
      <c r="K60" s="13" t="s">
        <v>76</v>
      </c>
      <c r="L60" s="11" t="str">
        <f>"000238"</f>
        <v>000238</v>
      </c>
      <c r="M60" s="10">
        <v>41556</v>
      </c>
      <c r="N60" s="11" t="str">
        <f>"000092"</f>
        <v>000092</v>
      </c>
      <c r="O60" s="10">
        <v>43400</v>
      </c>
      <c r="P60" s="11" t="str">
        <f>"000212"</f>
        <v>000212</v>
      </c>
      <c r="Q60" s="10">
        <v>41850</v>
      </c>
      <c r="R60" s="11">
        <v>13</v>
      </c>
      <c r="S60" s="11" t="str">
        <f>"008006"</f>
        <v>008006</v>
      </c>
      <c r="T60" s="10">
        <v>43448</v>
      </c>
      <c r="U60" s="14">
        <v>55.427889999999998</v>
      </c>
      <c r="V60" s="14">
        <v>8.5358599999999996</v>
      </c>
      <c r="W60" s="14">
        <v>46.892029999999998</v>
      </c>
      <c r="X60" s="11">
        <v>291</v>
      </c>
      <c r="Y60" s="10">
        <v>43448</v>
      </c>
      <c r="Z60" s="11">
        <v>9945417770</v>
      </c>
      <c r="AA60" s="12" t="s">
        <v>157</v>
      </c>
      <c r="AB60" s="11" t="s">
        <v>221</v>
      </c>
      <c r="AC60" s="12" t="s">
        <v>222</v>
      </c>
      <c r="AD60" s="11" t="s">
        <v>43</v>
      </c>
      <c r="AE60" s="12" t="s">
        <v>44</v>
      </c>
      <c r="AF60" s="14">
        <f t="shared" si="0"/>
        <v>0.55427890000000002</v>
      </c>
      <c r="AG60" s="11" t="s">
        <v>125</v>
      </c>
    </row>
    <row r="61" spans="1:33" x14ac:dyDescent="0.2">
      <c r="A61" s="8">
        <v>7787</v>
      </c>
      <c r="B61" s="9" t="s">
        <v>215</v>
      </c>
      <c r="C61" s="10">
        <v>43448</v>
      </c>
      <c r="D61" s="11">
        <v>139</v>
      </c>
      <c r="E61" s="12" t="s">
        <v>34</v>
      </c>
      <c r="F61" s="12" t="s">
        <v>35</v>
      </c>
      <c r="G61" s="12" t="s">
        <v>35</v>
      </c>
      <c r="H61" s="12" t="s">
        <v>36</v>
      </c>
      <c r="I61" s="11" t="s">
        <v>240</v>
      </c>
      <c r="J61" s="12" t="s">
        <v>241</v>
      </c>
      <c r="K61" s="13" t="s">
        <v>76</v>
      </c>
      <c r="L61" s="11" t="str">
        <f>"000031    "</f>
        <v xml:space="preserve">000031    </v>
      </c>
      <c r="M61" s="10">
        <v>42109</v>
      </c>
      <c r="N61" s="11" t="str">
        <f>"000103"</f>
        <v>000103</v>
      </c>
      <c r="O61" s="10">
        <v>43411</v>
      </c>
      <c r="P61" s="11" t="str">
        <f>"000034"</f>
        <v>000034</v>
      </c>
      <c r="Q61" s="10">
        <v>42170</v>
      </c>
      <c r="R61" s="11">
        <v>15</v>
      </c>
      <c r="S61" s="11" t="str">
        <f>"008007"</f>
        <v>008007</v>
      </c>
      <c r="T61" s="10">
        <v>43448</v>
      </c>
      <c r="U61" s="14">
        <v>14.09965</v>
      </c>
      <c r="V61" s="14">
        <v>1.8294999999999999</v>
      </c>
      <c r="W61" s="14">
        <v>12.270149999999999</v>
      </c>
      <c r="X61" s="11">
        <v>291</v>
      </c>
      <c r="Y61" s="10">
        <v>43448</v>
      </c>
      <c r="Z61" s="11">
        <v>9945417770</v>
      </c>
      <c r="AA61" s="12" t="s">
        <v>242</v>
      </c>
      <c r="AB61" s="11" t="s">
        <v>78</v>
      </c>
      <c r="AC61" s="12" t="s">
        <v>79</v>
      </c>
      <c r="AD61" s="11" t="s">
        <v>43</v>
      </c>
      <c r="AE61" s="12" t="s">
        <v>44</v>
      </c>
      <c r="AF61" s="14">
        <f t="shared" si="0"/>
        <v>0.1409965</v>
      </c>
      <c r="AG61" s="11" t="s">
        <v>125</v>
      </c>
    </row>
    <row r="62" spans="1:33" x14ac:dyDescent="0.2">
      <c r="A62" s="8">
        <v>8057</v>
      </c>
      <c r="B62" s="9" t="s">
        <v>215</v>
      </c>
      <c r="C62" s="10">
        <v>43455</v>
      </c>
      <c r="D62" s="11">
        <v>139</v>
      </c>
      <c r="E62" s="12" t="s">
        <v>34</v>
      </c>
      <c r="F62" s="12" t="s">
        <v>35</v>
      </c>
      <c r="G62" s="12" t="s">
        <v>35</v>
      </c>
      <c r="H62" s="12" t="s">
        <v>36</v>
      </c>
      <c r="I62" s="11" t="s">
        <v>243</v>
      </c>
      <c r="J62" s="12" t="s">
        <v>244</v>
      </c>
      <c r="K62" s="13" t="s">
        <v>76</v>
      </c>
      <c r="L62" s="11" t="str">
        <f>"000298"</f>
        <v>000298</v>
      </c>
      <c r="M62" s="10">
        <v>42812</v>
      </c>
      <c r="N62" s="11" t="str">
        <f>"000344"</f>
        <v>000344</v>
      </c>
      <c r="O62" s="10">
        <v>42884</v>
      </c>
      <c r="P62" s="11" t="str">
        <f>"000154"</f>
        <v>000154</v>
      </c>
      <c r="Q62" s="10">
        <v>42886</v>
      </c>
      <c r="R62" s="11">
        <v>17</v>
      </c>
      <c r="S62" s="11" t="str">
        <f>"007776"</f>
        <v>007776</v>
      </c>
      <c r="T62" s="10">
        <v>43444</v>
      </c>
      <c r="U62" s="14">
        <v>20.772580000000001</v>
      </c>
      <c r="V62" s="14">
        <v>2.7855599999999998</v>
      </c>
      <c r="W62" s="14">
        <v>17.987020000000001</v>
      </c>
      <c r="X62" s="11">
        <v>301</v>
      </c>
      <c r="Y62" s="10">
        <v>43455</v>
      </c>
      <c r="Z62" s="11">
        <v>9972550216</v>
      </c>
      <c r="AA62" s="12" t="s">
        <v>181</v>
      </c>
      <c r="AB62" s="11" t="s">
        <v>78</v>
      </c>
      <c r="AC62" s="12" t="s">
        <v>79</v>
      </c>
      <c r="AD62" s="11" t="s">
        <v>43</v>
      </c>
      <c r="AE62" s="12" t="s">
        <v>44</v>
      </c>
      <c r="AF62" s="14">
        <f t="shared" si="0"/>
        <v>0.20772580000000002</v>
      </c>
      <c r="AG62" s="11" t="s">
        <v>45</v>
      </c>
    </row>
    <row r="63" spans="1:33" x14ac:dyDescent="0.2">
      <c r="A63" s="8">
        <v>8058</v>
      </c>
      <c r="B63" s="9" t="s">
        <v>215</v>
      </c>
      <c r="C63" s="10">
        <v>43455</v>
      </c>
      <c r="D63" s="11">
        <v>139</v>
      </c>
      <c r="E63" s="12" t="s">
        <v>34</v>
      </c>
      <c r="F63" s="12" t="s">
        <v>35</v>
      </c>
      <c r="G63" s="12" t="s">
        <v>35</v>
      </c>
      <c r="H63" s="12" t="s">
        <v>36</v>
      </c>
      <c r="I63" s="11" t="s">
        <v>245</v>
      </c>
      <c r="J63" s="12" t="s">
        <v>246</v>
      </c>
      <c r="K63" s="13" t="s">
        <v>97</v>
      </c>
      <c r="L63" s="11" t="str">
        <f>"000200"</f>
        <v>000200</v>
      </c>
      <c r="M63" s="10">
        <v>42812</v>
      </c>
      <c r="N63" s="11" t="str">
        <f>"000345"</f>
        <v>000345</v>
      </c>
      <c r="O63" s="10">
        <v>42886</v>
      </c>
      <c r="P63" s="11" t="str">
        <f>"000155"</f>
        <v>000155</v>
      </c>
      <c r="Q63" s="10">
        <v>42886</v>
      </c>
      <c r="R63" s="11">
        <v>17</v>
      </c>
      <c r="S63" s="11" t="str">
        <f>"007777"</f>
        <v>007777</v>
      </c>
      <c r="T63" s="10">
        <v>43444</v>
      </c>
      <c r="U63" s="14">
        <v>10.486470000000001</v>
      </c>
      <c r="V63" s="14">
        <v>1.33815</v>
      </c>
      <c r="W63" s="14">
        <v>9.14832</v>
      </c>
      <c r="X63" s="11">
        <v>301</v>
      </c>
      <c r="Y63" s="10">
        <v>43455</v>
      </c>
      <c r="Z63" s="11">
        <v>9972550216</v>
      </c>
      <c r="AA63" s="12" t="s">
        <v>181</v>
      </c>
      <c r="AB63" s="11" t="s">
        <v>78</v>
      </c>
      <c r="AC63" s="12" t="s">
        <v>79</v>
      </c>
      <c r="AD63" s="11" t="s">
        <v>43</v>
      </c>
      <c r="AE63" s="12" t="s">
        <v>44</v>
      </c>
      <c r="AF63" s="14">
        <f t="shared" si="0"/>
        <v>0.10486470000000001</v>
      </c>
      <c r="AG63" s="11" t="s">
        <v>45</v>
      </c>
    </row>
    <row r="64" spans="1:33" x14ac:dyDescent="0.2">
      <c r="A64" s="8">
        <v>8059</v>
      </c>
      <c r="B64" s="9" t="s">
        <v>215</v>
      </c>
      <c r="C64" s="10">
        <v>43455</v>
      </c>
      <c r="D64" s="11">
        <v>139</v>
      </c>
      <c r="E64" s="12" t="s">
        <v>34</v>
      </c>
      <c r="F64" s="12" t="s">
        <v>35</v>
      </c>
      <c r="G64" s="12" t="s">
        <v>35</v>
      </c>
      <c r="H64" s="12" t="s">
        <v>36</v>
      </c>
      <c r="I64" s="11" t="s">
        <v>247</v>
      </c>
      <c r="J64" s="12" t="s">
        <v>248</v>
      </c>
      <c r="K64" s="13" t="s">
        <v>76</v>
      </c>
      <c r="L64" s="11" t="str">
        <f>"000399"</f>
        <v>000399</v>
      </c>
      <c r="M64" s="10">
        <v>42812</v>
      </c>
      <c r="N64" s="11" t="str">
        <f>"000348"</f>
        <v>000348</v>
      </c>
      <c r="O64" s="10">
        <v>42840</v>
      </c>
      <c r="P64" s="11" t="str">
        <f>"000156"</f>
        <v>000156</v>
      </c>
      <c r="Q64" s="10">
        <v>42886</v>
      </c>
      <c r="R64" s="11">
        <v>17</v>
      </c>
      <c r="S64" s="11" t="str">
        <f>"007778"</f>
        <v>007778</v>
      </c>
      <c r="T64" s="10">
        <v>43444</v>
      </c>
      <c r="U64" s="14">
        <v>20.848289999999999</v>
      </c>
      <c r="V64" s="14">
        <v>2.8145799999999999</v>
      </c>
      <c r="W64" s="14">
        <v>18.033709999999999</v>
      </c>
      <c r="X64" s="11">
        <v>301</v>
      </c>
      <c r="Y64" s="10">
        <v>43455</v>
      </c>
      <c r="Z64" s="11">
        <v>9972550216</v>
      </c>
      <c r="AA64" s="12" t="s">
        <v>181</v>
      </c>
      <c r="AB64" s="11" t="s">
        <v>78</v>
      </c>
      <c r="AC64" s="12" t="s">
        <v>79</v>
      </c>
      <c r="AD64" s="11" t="s">
        <v>43</v>
      </c>
      <c r="AE64" s="12" t="s">
        <v>44</v>
      </c>
      <c r="AF64" s="14">
        <f t="shared" si="0"/>
        <v>0.2084829</v>
      </c>
      <c r="AG64" s="11" t="s">
        <v>45</v>
      </c>
    </row>
    <row r="65" spans="1:33" x14ac:dyDescent="0.2">
      <c r="A65" s="8">
        <v>8261</v>
      </c>
      <c r="B65" s="9" t="s">
        <v>249</v>
      </c>
      <c r="C65" s="10">
        <v>43466</v>
      </c>
      <c r="D65" s="11">
        <v>139</v>
      </c>
      <c r="E65" s="12" t="s">
        <v>34</v>
      </c>
      <c r="F65" s="12" t="s">
        <v>35</v>
      </c>
      <c r="G65" s="12" t="s">
        <v>35</v>
      </c>
      <c r="H65" s="12" t="s">
        <v>36</v>
      </c>
      <c r="I65" s="11" t="s">
        <v>250</v>
      </c>
      <c r="J65" s="12" t="s">
        <v>251</v>
      </c>
      <c r="K65" s="13" t="s">
        <v>60</v>
      </c>
      <c r="L65" s="11" t="str">
        <f>"000330"</f>
        <v>000330</v>
      </c>
      <c r="M65" s="10">
        <v>43419</v>
      </c>
      <c r="N65" s="11" t="str">
        <f>"000111"</f>
        <v>000111</v>
      </c>
      <c r="O65" s="10">
        <v>43421</v>
      </c>
      <c r="P65" s="11" t="str">
        <f>"000229"</f>
        <v>000229</v>
      </c>
      <c r="Q65" s="10">
        <v>43421</v>
      </c>
      <c r="R65" s="11"/>
      <c r="S65" s="11" t="str">
        <f>"008410"</f>
        <v>008410</v>
      </c>
      <c r="T65" s="10">
        <v>43463</v>
      </c>
      <c r="U65" s="14">
        <v>3.7349999999999999</v>
      </c>
      <c r="V65" s="14">
        <v>0.3735</v>
      </c>
      <c r="W65" s="14">
        <v>3.3614999999999999</v>
      </c>
      <c r="X65" s="11">
        <v>309</v>
      </c>
      <c r="Y65" s="10">
        <v>43466</v>
      </c>
      <c r="Z65" s="11">
        <v>9886998316</v>
      </c>
      <c r="AA65" s="12" t="s">
        <v>252</v>
      </c>
      <c r="AB65" s="11" t="s">
        <v>253</v>
      </c>
      <c r="AC65" s="12" t="s">
        <v>254</v>
      </c>
      <c r="AD65" s="11" t="s">
        <v>43</v>
      </c>
      <c r="AE65" s="12" t="s">
        <v>44</v>
      </c>
      <c r="AF65" s="14">
        <f t="shared" si="0"/>
        <v>3.7350000000000001E-2</v>
      </c>
      <c r="AG65" s="11" t="s">
        <v>64</v>
      </c>
    </row>
    <row r="66" spans="1:33" x14ac:dyDescent="0.2">
      <c r="A66" s="8">
        <v>8262</v>
      </c>
      <c r="B66" s="9" t="s">
        <v>249</v>
      </c>
      <c r="C66" s="10">
        <v>43466</v>
      </c>
      <c r="D66" s="11">
        <v>139</v>
      </c>
      <c r="E66" s="12" t="s">
        <v>34</v>
      </c>
      <c r="F66" s="12" t="s">
        <v>35</v>
      </c>
      <c r="G66" s="12" t="s">
        <v>35</v>
      </c>
      <c r="H66" s="12" t="s">
        <v>36</v>
      </c>
      <c r="I66" s="11" t="s">
        <v>255</v>
      </c>
      <c r="J66" s="12" t="s">
        <v>256</v>
      </c>
      <c r="K66" s="13" t="s">
        <v>60</v>
      </c>
      <c r="L66" s="11" t="str">
        <f>"000331"</f>
        <v>000331</v>
      </c>
      <c r="M66" s="10">
        <v>43420</v>
      </c>
      <c r="N66" s="11" t="str">
        <f>"000112"</f>
        <v>000112</v>
      </c>
      <c r="O66" s="10">
        <v>43421</v>
      </c>
      <c r="P66" s="11" t="str">
        <f>"000230"</f>
        <v>000230</v>
      </c>
      <c r="Q66" s="10">
        <v>43421</v>
      </c>
      <c r="R66" s="11"/>
      <c r="S66" s="11" t="str">
        <f>"008411"</f>
        <v>008411</v>
      </c>
      <c r="T66" s="10">
        <v>43463</v>
      </c>
      <c r="U66" s="14">
        <v>3.7349999999999999</v>
      </c>
      <c r="V66" s="14">
        <v>0.3735</v>
      </c>
      <c r="W66" s="14">
        <v>3.3614999999999999</v>
      </c>
      <c r="X66" s="11">
        <v>309</v>
      </c>
      <c r="Y66" s="10">
        <v>43466</v>
      </c>
      <c r="Z66" s="11">
        <v>9886998316</v>
      </c>
      <c r="AA66" s="12" t="s">
        <v>252</v>
      </c>
      <c r="AB66" s="11" t="s">
        <v>253</v>
      </c>
      <c r="AC66" s="12" t="s">
        <v>254</v>
      </c>
      <c r="AD66" s="11" t="s">
        <v>43</v>
      </c>
      <c r="AE66" s="12" t="s">
        <v>44</v>
      </c>
      <c r="AF66" s="14">
        <f t="shared" si="0"/>
        <v>3.7350000000000001E-2</v>
      </c>
      <c r="AG66" s="11" t="s">
        <v>64</v>
      </c>
    </row>
    <row r="67" spans="1:33" x14ac:dyDescent="0.2">
      <c r="A67" s="8">
        <v>8318</v>
      </c>
      <c r="B67" s="9" t="s">
        <v>249</v>
      </c>
      <c r="C67" s="10">
        <v>43467</v>
      </c>
      <c r="D67" s="11">
        <v>139</v>
      </c>
      <c r="E67" s="12" t="s">
        <v>34</v>
      </c>
      <c r="F67" s="12" t="s">
        <v>35</v>
      </c>
      <c r="G67" s="12" t="s">
        <v>35</v>
      </c>
      <c r="H67" s="12" t="s">
        <v>36</v>
      </c>
      <c r="I67" s="11" t="s">
        <v>257</v>
      </c>
      <c r="J67" s="12" t="s">
        <v>258</v>
      </c>
      <c r="K67" s="13" t="s">
        <v>259</v>
      </c>
      <c r="L67" s="11" t="str">
        <f>"000212"</f>
        <v>000212</v>
      </c>
      <c r="M67" s="10">
        <v>43151</v>
      </c>
      <c r="N67" s="11" t="str">
        <f>"000124"</f>
        <v>000124</v>
      </c>
      <c r="O67" s="10">
        <v>43151</v>
      </c>
      <c r="P67" s="11" t="str">
        <f>"000194"</f>
        <v>000194</v>
      </c>
      <c r="Q67" s="10">
        <v>43151</v>
      </c>
      <c r="R67" s="11"/>
      <c r="S67" s="11" t="str">
        <f>"008201"</f>
        <v>008201</v>
      </c>
      <c r="T67" s="10">
        <v>43455</v>
      </c>
      <c r="U67" s="14">
        <v>16.63466</v>
      </c>
      <c r="V67" s="14">
        <v>1.96289</v>
      </c>
      <c r="W67" s="14">
        <v>14.67177</v>
      </c>
      <c r="X67" s="11">
        <v>310</v>
      </c>
      <c r="Y67" s="10">
        <v>43467</v>
      </c>
      <c r="Z67" s="11">
        <v>9916950205</v>
      </c>
      <c r="AA67" s="12" t="s">
        <v>71</v>
      </c>
      <c r="AB67" s="11" t="s">
        <v>132</v>
      </c>
      <c r="AC67" s="12" t="s">
        <v>133</v>
      </c>
      <c r="AD67" s="11" t="s">
        <v>43</v>
      </c>
      <c r="AE67" s="12" t="s">
        <v>44</v>
      </c>
      <c r="AF67" s="14">
        <f t="shared" si="0"/>
        <v>0.16634660000000001</v>
      </c>
      <c r="AG67" s="11" t="s">
        <v>45</v>
      </c>
    </row>
    <row r="68" spans="1:33" x14ac:dyDescent="0.2">
      <c r="A68" s="8">
        <v>8319</v>
      </c>
      <c r="B68" s="9" t="s">
        <v>249</v>
      </c>
      <c r="C68" s="10">
        <v>43467</v>
      </c>
      <c r="D68" s="11">
        <v>139</v>
      </c>
      <c r="E68" s="12" t="s">
        <v>34</v>
      </c>
      <c r="F68" s="12" t="s">
        <v>35</v>
      </c>
      <c r="G68" s="12" t="s">
        <v>35</v>
      </c>
      <c r="H68" s="12" t="s">
        <v>36</v>
      </c>
      <c r="I68" s="11" t="s">
        <v>260</v>
      </c>
      <c r="J68" s="12" t="s">
        <v>261</v>
      </c>
      <c r="K68" s="13" t="s">
        <v>39</v>
      </c>
      <c r="L68" s="11" t="str">
        <f>"000205"</f>
        <v>000205</v>
      </c>
      <c r="M68" s="10">
        <v>43150</v>
      </c>
      <c r="N68" s="11" t="str">
        <f>"000130"</f>
        <v>000130</v>
      </c>
      <c r="O68" s="10">
        <v>43151</v>
      </c>
      <c r="P68" s="11" t="str">
        <f>"000195"</f>
        <v>000195</v>
      </c>
      <c r="Q68" s="10">
        <v>43151</v>
      </c>
      <c r="R68" s="11"/>
      <c r="S68" s="11" t="str">
        <f>"008202"</f>
        <v>008202</v>
      </c>
      <c r="T68" s="10">
        <v>43455</v>
      </c>
      <c r="U68" s="14">
        <v>16.649260000000002</v>
      </c>
      <c r="V68" s="14">
        <v>1.96461</v>
      </c>
      <c r="W68" s="14">
        <v>14.68465</v>
      </c>
      <c r="X68" s="11">
        <v>310</v>
      </c>
      <c r="Y68" s="10">
        <v>43467</v>
      </c>
      <c r="Z68" s="11">
        <v>9916950205</v>
      </c>
      <c r="AA68" s="12" t="s">
        <v>67</v>
      </c>
      <c r="AB68" s="11" t="s">
        <v>187</v>
      </c>
      <c r="AC68" s="12" t="s">
        <v>188</v>
      </c>
      <c r="AD68" s="11" t="s">
        <v>43</v>
      </c>
      <c r="AE68" s="12" t="s">
        <v>44</v>
      </c>
      <c r="AF68" s="14">
        <f t="shared" si="0"/>
        <v>0.16649260000000002</v>
      </c>
      <c r="AG68" s="11" t="s">
        <v>45</v>
      </c>
    </row>
    <row r="69" spans="1:33" x14ac:dyDescent="0.2">
      <c r="A69" s="8">
        <v>8473</v>
      </c>
      <c r="B69" s="9" t="s">
        <v>249</v>
      </c>
      <c r="C69" s="10">
        <v>43472</v>
      </c>
      <c r="D69" s="11">
        <v>139</v>
      </c>
      <c r="E69" s="12" t="s">
        <v>34</v>
      </c>
      <c r="F69" s="12" t="s">
        <v>35</v>
      </c>
      <c r="G69" s="12" t="s">
        <v>35</v>
      </c>
      <c r="H69" s="12" t="s">
        <v>36</v>
      </c>
      <c r="I69" s="11" t="s">
        <v>262</v>
      </c>
      <c r="J69" s="12" t="s">
        <v>263</v>
      </c>
      <c r="K69" s="13" t="s">
        <v>76</v>
      </c>
      <c r="L69" s="11" t="str">
        <f>"000284"</f>
        <v>000284</v>
      </c>
      <c r="M69" s="10">
        <v>43444</v>
      </c>
      <c r="N69" s="11" t="str">
        <f>"000118"</f>
        <v>000118</v>
      </c>
      <c r="O69" s="10">
        <v>43444</v>
      </c>
      <c r="P69" s="11" t="str">
        <f>"000254"</f>
        <v>000254</v>
      </c>
      <c r="Q69" s="10">
        <v>43444</v>
      </c>
      <c r="R69" s="11"/>
      <c r="S69" s="11" t="str">
        <f>"008600"</f>
        <v>008600</v>
      </c>
      <c r="T69" s="10">
        <v>43470</v>
      </c>
      <c r="U69" s="14">
        <v>1090.77378</v>
      </c>
      <c r="V69" s="14">
        <v>55.629429999999999</v>
      </c>
      <c r="W69" s="14">
        <v>1035.14435</v>
      </c>
      <c r="X69" s="11">
        <v>317</v>
      </c>
      <c r="Y69" s="10">
        <v>43472</v>
      </c>
      <c r="Z69" s="11">
        <v>9886296777</v>
      </c>
      <c r="AA69" s="12" t="s">
        <v>264</v>
      </c>
      <c r="AB69" s="11" t="s">
        <v>253</v>
      </c>
      <c r="AC69" s="12" t="s">
        <v>254</v>
      </c>
      <c r="AD69" s="11" t="s">
        <v>43</v>
      </c>
      <c r="AE69" s="12" t="s">
        <v>44</v>
      </c>
      <c r="AF69" s="14">
        <f t="shared" si="0"/>
        <v>10.9077378</v>
      </c>
      <c r="AG69" s="11" t="s">
        <v>64</v>
      </c>
    </row>
    <row r="70" spans="1:33" x14ac:dyDescent="0.2">
      <c r="A70" s="8">
        <v>8860</v>
      </c>
      <c r="B70" s="9" t="s">
        <v>265</v>
      </c>
      <c r="C70" s="10">
        <v>43497</v>
      </c>
      <c r="D70" s="11">
        <v>139</v>
      </c>
      <c r="E70" s="12" t="s">
        <v>34</v>
      </c>
      <c r="F70" s="12" t="s">
        <v>35</v>
      </c>
      <c r="G70" s="12" t="s">
        <v>35</v>
      </c>
      <c r="H70" s="12" t="s">
        <v>36</v>
      </c>
      <c r="I70" s="11" t="s">
        <v>266</v>
      </c>
      <c r="J70" s="12" t="s">
        <v>267</v>
      </c>
      <c r="K70" s="13" t="s">
        <v>60</v>
      </c>
      <c r="L70" s="11" t="str">
        <f>"000042"</f>
        <v>000042</v>
      </c>
      <c r="M70" s="10">
        <v>43217</v>
      </c>
      <c r="N70" s="11" t="str">
        <f>"000031"</f>
        <v>000031</v>
      </c>
      <c r="O70" s="10">
        <v>43217</v>
      </c>
      <c r="P70" s="11" t="str">
        <f>"000031"</f>
        <v>000031</v>
      </c>
      <c r="Q70" s="10">
        <v>43217</v>
      </c>
      <c r="R70" s="11"/>
      <c r="S70" s="11" t="str">
        <f>"008540"</f>
        <v>008540</v>
      </c>
      <c r="T70" s="10">
        <v>43469</v>
      </c>
      <c r="U70" s="14">
        <v>11.09859</v>
      </c>
      <c r="V70" s="14">
        <v>1.30965</v>
      </c>
      <c r="W70" s="14">
        <v>9.7889400000000002</v>
      </c>
      <c r="X70" s="11">
        <v>336</v>
      </c>
      <c r="Y70" s="10">
        <v>43497</v>
      </c>
      <c r="Z70" s="11">
        <v>9916950205</v>
      </c>
      <c r="AA70" s="12" t="s">
        <v>67</v>
      </c>
      <c r="AB70" s="11" t="s">
        <v>268</v>
      </c>
      <c r="AC70" s="12" t="s">
        <v>269</v>
      </c>
      <c r="AD70" s="11" t="s">
        <v>43</v>
      </c>
      <c r="AE70" s="12" t="s">
        <v>44</v>
      </c>
      <c r="AF70" s="14">
        <f t="shared" si="0"/>
        <v>0.1109859</v>
      </c>
      <c r="AG70" s="11" t="s">
        <v>64</v>
      </c>
    </row>
    <row r="71" spans="1:33" x14ac:dyDescent="0.2">
      <c r="A71" s="8">
        <v>8861</v>
      </c>
      <c r="B71" s="9" t="s">
        <v>265</v>
      </c>
      <c r="C71" s="10">
        <v>43497</v>
      </c>
      <c r="D71" s="11">
        <v>139</v>
      </c>
      <c r="E71" s="12" t="s">
        <v>34</v>
      </c>
      <c r="F71" s="12" t="s">
        <v>35</v>
      </c>
      <c r="G71" s="12" t="s">
        <v>35</v>
      </c>
      <c r="H71" s="12" t="s">
        <v>36</v>
      </c>
      <c r="I71" s="11" t="s">
        <v>270</v>
      </c>
      <c r="J71" s="12" t="s">
        <v>271</v>
      </c>
      <c r="K71" s="13" t="s">
        <v>207</v>
      </c>
      <c r="L71" s="11" t="str">
        <f>"000068"</f>
        <v>000068</v>
      </c>
      <c r="M71" s="10">
        <v>43217</v>
      </c>
      <c r="N71" s="11" t="str">
        <f>"000038"</f>
        <v>000038</v>
      </c>
      <c r="O71" s="10">
        <v>43217</v>
      </c>
      <c r="P71" s="11" t="str">
        <f>"000035"</f>
        <v>000035</v>
      </c>
      <c r="Q71" s="10">
        <v>43217</v>
      </c>
      <c r="R71" s="11"/>
      <c r="S71" s="11" t="str">
        <f>"008541"</f>
        <v>008541</v>
      </c>
      <c r="T71" s="10">
        <v>43469</v>
      </c>
      <c r="U71" s="14">
        <v>11.093220000000001</v>
      </c>
      <c r="V71" s="14">
        <v>1.30898</v>
      </c>
      <c r="W71" s="14">
        <v>9.7842400000000005</v>
      </c>
      <c r="X71" s="11">
        <v>336</v>
      </c>
      <c r="Y71" s="10">
        <v>43497</v>
      </c>
      <c r="Z71" s="11">
        <v>9916950205</v>
      </c>
      <c r="AA71" s="12" t="s">
        <v>71</v>
      </c>
      <c r="AB71" s="11" t="s">
        <v>272</v>
      </c>
      <c r="AC71" s="12" t="s">
        <v>273</v>
      </c>
      <c r="AD71" s="11" t="s">
        <v>43</v>
      </c>
      <c r="AE71" s="12" t="s">
        <v>44</v>
      </c>
      <c r="AF71" s="14">
        <f t="shared" si="0"/>
        <v>0.11093220000000001</v>
      </c>
      <c r="AG71" s="11" t="s">
        <v>64</v>
      </c>
    </row>
    <row r="72" spans="1:33" x14ac:dyDescent="0.2">
      <c r="A72" s="8">
        <v>8862</v>
      </c>
      <c r="B72" s="9" t="s">
        <v>265</v>
      </c>
      <c r="C72" s="10">
        <v>43497</v>
      </c>
      <c r="D72" s="11">
        <v>139</v>
      </c>
      <c r="E72" s="12" t="s">
        <v>34</v>
      </c>
      <c r="F72" s="12" t="s">
        <v>35</v>
      </c>
      <c r="G72" s="12" t="s">
        <v>35</v>
      </c>
      <c r="H72" s="12" t="s">
        <v>36</v>
      </c>
      <c r="I72" s="11" t="s">
        <v>274</v>
      </c>
      <c r="J72" s="12" t="s">
        <v>275</v>
      </c>
      <c r="K72" s="13" t="s">
        <v>259</v>
      </c>
      <c r="L72" s="11" t="str">
        <f>"000010"</f>
        <v>000010</v>
      </c>
      <c r="M72" s="10">
        <v>43217</v>
      </c>
      <c r="N72" s="11" t="str">
        <f>"000025"</f>
        <v>000025</v>
      </c>
      <c r="O72" s="10">
        <v>43217</v>
      </c>
      <c r="P72" s="11" t="str">
        <f>"000039"</f>
        <v>000039</v>
      </c>
      <c r="Q72" s="10">
        <v>43217</v>
      </c>
      <c r="R72" s="11"/>
      <c r="S72" s="11" t="str">
        <f>"008542"</f>
        <v>008542</v>
      </c>
      <c r="T72" s="10">
        <v>43469</v>
      </c>
      <c r="U72" s="14">
        <v>16.63963</v>
      </c>
      <c r="V72" s="14">
        <v>1.96349</v>
      </c>
      <c r="W72" s="14">
        <v>14.67614</v>
      </c>
      <c r="X72" s="11">
        <v>336</v>
      </c>
      <c r="Y72" s="10">
        <v>43497</v>
      </c>
      <c r="Z72" s="11">
        <v>9916950205</v>
      </c>
      <c r="AA72" s="12" t="s">
        <v>67</v>
      </c>
      <c r="AB72" s="11" t="s">
        <v>272</v>
      </c>
      <c r="AC72" s="12" t="s">
        <v>273</v>
      </c>
      <c r="AD72" s="11" t="s">
        <v>43</v>
      </c>
      <c r="AE72" s="12" t="s">
        <v>44</v>
      </c>
      <c r="AF72" s="14">
        <f t="shared" si="0"/>
        <v>0.1663963</v>
      </c>
      <c r="AG72" s="11" t="s">
        <v>64</v>
      </c>
    </row>
    <row r="73" spans="1:33" x14ac:dyDescent="0.2">
      <c r="A73" s="8">
        <v>8863</v>
      </c>
      <c r="B73" s="9" t="s">
        <v>265</v>
      </c>
      <c r="C73" s="10">
        <v>43497</v>
      </c>
      <c r="D73" s="11">
        <v>139</v>
      </c>
      <c r="E73" s="12" t="s">
        <v>34</v>
      </c>
      <c r="F73" s="12" t="s">
        <v>35</v>
      </c>
      <c r="G73" s="12" t="s">
        <v>35</v>
      </c>
      <c r="H73" s="12" t="s">
        <v>36</v>
      </c>
      <c r="I73" s="11" t="s">
        <v>276</v>
      </c>
      <c r="J73" s="12" t="s">
        <v>277</v>
      </c>
      <c r="K73" s="13" t="s">
        <v>259</v>
      </c>
      <c r="L73" s="11" t="str">
        <f>"000064"</f>
        <v>000064</v>
      </c>
      <c r="M73" s="10">
        <v>43217</v>
      </c>
      <c r="N73" s="11" t="str">
        <f>"000042"</f>
        <v>000042</v>
      </c>
      <c r="O73" s="10">
        <v>43217</v>
      </c>
      <c r="P73" s="11" t="str">
        <f>"000040"</f>
        <v>000040</v>
      </c>
      <c r="Q73" s="10">
        <v>43217</v>
      </c>
      <c r="R73" s="11"/>
      <c r="S73" s="11" t="str">
        <f>"008543"</f>
        <v>008543</v>
      </c>
      <c r="T73" s="10">
        <v>43469</v>
      </c>
      <c r="U73" s="14">
        <v>16.641940000000002</v>
      </c>
      <c r="V73" s="14">
        <v>1.9637500000000001</v>
      </c>
      <c r="W73" s="14">
        <v>14.678190000000001</v>
      </c>
      <c r="X73" s="11">
        <v>336</v>
      </c>
      <c r="Y73" s="10">
        <v>43497</v>
      </c>
      <c r="Z73" s="11">
        <v>9916950205</v>
      </c>
      <c r="AA73" s="12" t="s">
        <v>71</v>
      </c>
      <c r="AB73" s="11" t="s">
        <v>272</v>
      </c>
      <c r="AC73" s="12" t="s">
        <v>273</v>
      </c>
      <c r="AD73" s="11" t="s">
        <v>43</v>
      </c>
      <c r="AE73" s="12" t="s">
        <v>44</v>
      </c>
      <c r="AF73" s="14">
        <f t="shared" si="0"/>
        <v>0.16641940000000002</v>
      </c>
      <c r="AG73" s="11" t="s">
        <v>64</v>
      </c>
    </row>
    <row r="74" spans="1:33" x14ac:dyDescent="0.2">
      <c r="A74" s="8">
        <v>8864</v>
      </c>
      <c r="B74" s="9" t="s">
        <v>265</v>
      </c>
      <c r="C74" s="10">
        <v>43497</v>
      </c>
      <c r="D74" s="11">
        <v>139</v>
      </c>
      <c r="E74" s="12" t="s">
        <v>34</v>
      </c>
      <c r="F74" s="12" t="s">
        <v>35</v>
      </c>
      <c r="G74" s="12" t="s">
        <v>35</v>
      </c>
      <c r="H74" s="12" t="s">
        <v>36</v>
      </c>
      <c r="I74" s="11" t="s">
        <v>278</v>
      </c>
      <c r="J74" s="12" t="s">
        <v>279</v>
      </c>
      <c r="K74" s="13" t="s">
        <v>39</v>
      </c>
      <c r="L74" s="11" t="str">
        <f>"000065"</f>
        <v>000065</v>
      </c>
      <c r="M74" s="10">
        <v>43217</v>
      </c>
      <c r="N74" s="11" t="str">
        <f>"000030"</f>
        <v>000030</v>
      </c>
      <c r="O74" s="10">
        <v>43217</v>
      </c>
      <c r="P74" s="11" t="str">
        <f>"000046"</f>
        <v>000046</v>
      </c>
      <c r="Q74" s="10">
        <v>43217</v>
      </c>
      <c r="R74" s="11"/>
      <c r="S74" s="11" t="str">
        <f>"008544"</f>
        <v>008544</v>
      </c>
      <c r="T74" s="10">
        <v>43469</v>
      </c>
      <c r="U74" s="14">
        <v>16.649979999999999</v>
      </c>
      <c r="V74" s="14">
        <v>1.9646999999999999</v>
      </c>
      <c r="W74" s="14">
        <v>14.685280000000001</v>
      </c>
      <c r="X74" s="11">
        <v>336</v>
      </c>
      <c r="Y74" s="10">
        <v>43497</v>
      </c>
      <c r="Z74" s="11">
        <v>9916950205</v>
      </c>
      <c r="AA74" s="12" t="s">
        <v>67</v>
      </c>
      <c r="AB74" s="11" t="s">
        <v>123</v>
      </c>
      <c r="AC74" s="12" t="s">
        <v>124</v>
      </c>
      <c r="AD74" s="11" t="s">
        <v>43</v>
      </c>
      <c r="AE74" s="12" t="s">
        <v>44</v>
      </c>
      <c r="AF74" s="14">
        <f t="shared" si="0"/>
        <v>0.1664998</v>
      </c>
      <c r="AG74" s="11" t="s">
        <v>64</v>
      </c>
    </row>
    <row r="75" spans="1:33" x14ac:dyDescent="0.2">
      <c r="A75" s="8">
        <v>8865</v>
      </c>
      <c r="B75" s="9" t="s">
        <v>265</v>
      </c>
      <c r="C75" s="10">
        <v>43497</v>
      </c>
      <c r="D75" s="11">
        <v>139</v>
      </c>
      <c r="E75" s="12" t="s">
        <v>34</v>
      </c>
      <c r="F75" s="12" t="s">
        <v>35</v>
      </c>
      <c r="G75" s="12" t="s">
        <v>35</v>
      </c>
      <c r="H75" s="12" t="s">
        <v>36</v>
      </c>
      <c r="I75" s="11" t="s">
        <v>280</v>
      </c>
      <c r="J75" s="12" t="s">
        <v>281</v>
      </c>
      <c r="K75" s="13" t="s">
        <v>259</v>
      </c>
      <c r="L75" s="11" t="str">
        <f>"000055"</f>
        <v>000055</v>
      </c>
      <c r="M75" s="10">
        <v>43217</v>
      </c>
      <c r="N75" s="11" t="str">
        <f>"000010"</f>
        <v>000010</v>
      </c>
      <c r="O75" s="10">
        <v>43217</v>
      </c>
      <c r="P75" s="11" t="str">
        <f>"000045"</f>
        <v>000045</v>
      </c>
      <c r="Q75" s="10">
        <v>43218</v>
      </c>
      <c r="R75" s="11"/>
      <c r="S75" s="11" t="str">
        <f>"008545"</f>
        <v>008545</v>
      </c>
      <c r="T75" s="10">
        <v>43469</v>
      </c>
      <c r="U75" s="14">
        <v>11.096679999999999</v>
      </c>
      <c r="V75" s="14">
        <v>1.30942</v>
      </c>
      <c r="W75" s="14">
        <v>9.7872599999999998</v>
      </c>
      <c r="X75" s="11">
        <v>336</v>
      </c>
      <c r="Y75" s="10">
        <v>43497</v>
      </c>
      <c r="Z75" s="11">
        <v>9916950205</v>
      </c>
      <c r="AA75" s="12" t="s">
        <v>67</v>
      </c>
      <c r="AB75" s="11" t="s">
        <v>272</v>
      </c>
      <c r="AC75" s="12" t="s">
        <v>273</v>
      </c>
      <c r="AD75" s="11" t="s">
        <v>43</v>
      </c>
      <c r="AE75" s="12" t="s">
        <v>44</v>
      </c>
      <c r="AF75" s="14">
        <f t="shared" si="0"/>
        <v>0.11096679999999999</v>
      </c>
      <c r="AG75" s="11" t="s">
        <v>64</v>
      </c>
    </row>
    <row r="76" spans="1:33" x14ac:dyDescent="0.2">
      <c r="A76" s="8">
        <v>8866</v>
      </c>
      <c r="B76" s="9" t="s">
        <v>265</v>
      </c>
      <c r="C76" s="10">
        <v>43497</v>
      </c>
      <c r="D76" s="11">
        <v>139</v>
      </c>
      <c r="E76" s="12" t="s">
        <v>34</v>
      </c>
      <c r="F76" s="12" t="s">
        <v>35</v>
      </c>
      <c r="G76" s="12" t="s">
        <v>35</v>
      </c>
      <c r="H76" s="12" t="s">
        <v>36</v>
      </c>
      <c r="I76" s="11" t="s">
        <v>282</v>
      </c>
      <c r="J76" s="12" t="s">
        <v>283</v>
      </c>
      <c r="K76" s="13" t="s">
        <v>39</v>
      </c>
      <c r="L76" s="11" t="str">
        <f>"000032"</f>
        <v>000032</v>
      </c>
      <c r="M76" s="10">
        <v>43217</v>
      </c>
      <c r="N76" s="11" t="str">
        <f>"000026"</f>
        <v>000026</v>
      </c>
      <c r="O76" s="10">
        <v>43217</v>
      </c>
      <c r="P76" s="11" t="str">
        <f>"000048"</f>
        <v>000048</v>
      </c>
      <c r="Q76" s="10">
        <v>43218</v>
      </c>
      <c r="R76" s="11"/>
      <c r="S76" s="11" t="str">
        <f>"008546"</f>
        <v>008546</v>
      </c>
      <c r="T76" s="10">
        <v>43469</v>
      </c>
      <c r="U76" s="14">
        <v>15.537140000000001</v>
      </c>
      <c r="V76" s="14">
        <v>1.83338</v>
      </c>
      <c r="W76" s="14">
        <v>13.703760000000001</v>
      </c>
      <c r="X76" s="11">
        <v>336</v>
      </c>
      <c r="Y76" s="10">
        <v>43497</v>
      </c>
      <c r="Z76" s="11">
        <v>9916950205</v>
      </c>
      <c r="AA76" s="12" t="s">
        <v>67</v>
      </c>
      <c r="AB76" s="11" t="s">
        <v>169</v>
      </c>
      <c r="AC76" s="12" t="s">
        <v>170</v>
      </c>
      <c r="AD76" s="11" t="s">
        <v>43</v>
      </c>
      <c r="AE76" s="12" t="s">
        <v>44</v>
      </c>
      <c r="AF76" s="14">
        <f t="shared" si="0"/>
        <v>0.15537140000000002</v>
      </c>
      <c r="AG76" s="11" t="s">
        <v>64</v>
      </c>
    </row>
    <row r="77" spans="1:33" x14ac:dyDescent="0.2">
      <c r="A77" s="8">
        <v>8868</v>
      </c>
      <c r="B77" s="9" t="s">
        <v>265</v>
      </c>
      <c r="C77" s="10">
        <v>43497</v>
      </c>
      <c r="D77" s="11">
        <v>139</v>
      </c>
      <c r="E77" s="12" t="s">
        <v>34</v>
      </c>
      <c r="F77" s="12" t="s">
        <v>35</v>
      </c>
      <c r="G77" s="12" t="s">
        <v>35</v>
      </c>
      <c r="H77" s="12" t="s">
        <v>36</v>
      </c>
      <c r="I77" s="11" t="s">
        <v>284</v>
      </c>
      <c r="J77" s="12" t="s">
        <v>285</v>
      </c>
      <c r="K77" s="13" t="s">
        <v>259</v>
      </c>
      <c r="L77" s="11" t="str">
        <f>"000035"</f>
        <v>000035</v>
      </c>
      <c r="M77" s="10">
        <v>43217</v>
      </c>
      <c r="N77" s="11" t="str">
        <f>"000011"</f>
        <v>000011</v>
      </c>
      <c r="O77" s="10">
        <v>43217</v>
      </c>
      <c r="P77" s="11" t="str">
        <f>"000053"</f>
        <v>000053</v>
      </c>
      <c r="Q77" s="10">
        <v>43218</v>
      </c>
      <c r="R77" s="11"/>
      <c r="S77" s="11" t="str">
        <f>"008616"</f>
        <v>008616</v>
      </c>
      <c r="T77" s="10">
        <v>43472</v>
      </c>
      <c r="U77" s="14">
        <v>22.19998</v>
      </c>
      <c r="V77" s="14">
        <v>2.7305999999999999</v>
      </c>
      <c r="W77" s="14">
        <v>19.469380000000001</v>
      </c>
      <c r="X77" s="11">
        <v>336</v>
      </c>
      <c r="Y77" s="10">
        <v>43497</v>
      </c>
      <c r="Z77" s="11">
        <v>9916950205</v>
      </c>
      <c r="AA77" s="12" t="s">
        <v>67</v>
      </c>
      <c r="AB77" s="11" t="s">
        <v>286</v>
      </c>
      <c r="AC77" s="12" t="s">
        <v>287</v>
      </c>
      <c r="AD77" s="11" t="s">
        <v>43</v>
      </c>
      <c r="AE77" s="12" t="s">
        <v>44</v>
      </c>
      <c r="AF77" s="14">
        <f t="shared" si="0"/>
        <v>0.2219998</v>
      </c>
      <c r="AG77" s="11" t="s">
        <v>64</v>
      </c>
    </row>
    <row r="78" spans="1:33" x14ac:dyDescent="0.2">
      <c r="A78" s="8">
        <v>8869</v>
      </c>
      <c r="B78" s="9" t="s">
        <v>265</v>
      </c>
      <c r="C78" s="10">
        <v>43497</v>
      </c>
      <c r="D78" s="11">
        <v>139</v>
      </c>
      <c r="E78" s="12" t="s">
        <v>34</v>
      </c>
      <c r="F78" s="12" t="s">
        <v>35</v>
      </c>
      <c r="G78" s="12" t="s">
        <v>35</v>
      </c>
      <c r="H78" s="12" t="s">
        <v>36</v>
      </c>
      <c r="I78" s="11" t="s">
        <v>288</v>
      </c>
      <c r="J78" s="12" t="s">
        <v>289</v>
      </c>
      <c r="K78" s="13" t="s">
        <v>39</v>
      </c>
      <c r="L78" s="11" t="str">
        <f>"000074"</f>
        <v>000074</v>
      </c>
      <c r="M78" s="10">
        <v>43217</v>
      </c>
      <c r="N78" s="11" t="str">
        <f>"000019"</f>
        <v>000019</v>
      </c>
      <c r="O78" s="10">
        <v>43217</v>
      </c>
      <c r="P78" s="11" t="str">
        <f>"000054"</f>
        <v>000054</v>
      </c>
      <c r="Q78" s="10">
        <v>43218</v>
      </c>
      <c r="R78" s="11"/>
      <c r="S78" s="11" t="str">
        <f>"008617"</f>
        <v>008617</v>
      </c>
      <c r="T78" s="10">
        <v>43472</v>
      </c>
      <c r="U78" s="14">
        <v>22.196349999999999</v>
      </c>
      <c r="V78" s="14">
        <v>2.7306599999999999</v>
      </c>
      <c r="W78" s="14">
        <v>19.465689999999999</v>
      </c>
      <c r="X78" s="11">
        <v>336</v>
      </c>
      <c r="Y78" s="10">
        <v>43497</v>
      </c>
      <c r="Z78" s="11">
        <v>9916950205</v>
      </c>
      <c r="AA78" s="12" t="s">
        <v>61</v>
      </c>
      <c r="AB78" s="11" t="s">
        <v>290</v>
      </c>
      <c r="AC78" s="12" t="s">
        <v>291</v>
      </c>
      <c r="AD78" s="11" t="s">
        <v>43</v>
      </c>
      <c r="AE78" s="12" t="s">
        <v>44</v>
      </c>
      <c r="AF78" s="14">
        <f t="shared" si="0"/>
        <v>0.22196349999999998</v>
      </c>
      <c r="AG78" s="11" t="s">
        <v>64</v>
      </c>
    </row>
    <row r="79" spans="1:33" x14ac:dyDescent="0.2">
      <c r="A79" s="8">
        <v>8870</v>
      </c>
      <c r="B79" s="9" t="s">
        <v>265</v>
      </c>
      <c r="C79" s="10">
        <v>43497</v>
      </c>
      <c r="D79" s="11">
        <v>139</v>
      </c>
      <c r="E79" s="12" t="s">
        <v>34</v>
      </c>
      <c r="F79" s="12" t="s">
        <v>35</v>
      </c>
      <c r="G79" s="12" t="s">
        <v>35</v>
      </c>
      <c r="H79" s="12" t="s">
        <v>36</v>
      </c>
      <c r="I79" s="11" t="s">
        <v>292</v>
      </c>
      <c r="J79" s="12" t="s">
        <v>293</v>
      </c>
      <c r="K79" s="13" t="s">
        <v>60</v>
      </c>
      <c r="L79" s="11" t="str">
        <f>"000070"</f>
        <v>000070</v>
      </c>
      <c r="M79" s="10">
        <v>43217</v>
      </c>
      <c r="N79" s="11" t="str">
        <f>"000018"</f>
        <v>000018</v>
      </c>
      <c r="O79" s="10">
        <v>43217</v>
      </c>
      <c r="P79" s="11" t="str">
        <f>"000056"</f>
        <v>000056</v>
      </c>
      <c r="Q79" s="10">
        <v>43218</v>
      </c>
      <c r="R79" s="11"/>
      <c r="S79" s="11" t="str">
        <f>"008618"</f>
        <v>008618</v>
      </c>
      <c r="T79" s="10">
        <v>43472</v>
      </c>
      <c r="U79" s="14">
        <v>33.297800000000002</v>
      </c>
      <c r="V79" s="14">
        <v>4.0956400000000004</v>
      </c>
      <c r="W79" s="14">
        <v>29.202159999999999</v>
      </c>
      <c r="X79" s="11">
        <v>336</v>
      </c>
      <c r="Y79" s="10">
        <v>43497</v>
      </c>
      <c r="Z79" s="11">
        <v>9916950205</v>
      </c>
      <c r="AA79" s="12" t="s">
        <v>67</v>
      </c>
      <c r="AB79" s="11" t="s">
        <v>294</v>
      </c>
      <c r="AC79" s="12" t="s">
        <v>295</v>
      </c>
      <c r="AD79" s="11" t="s">
        <v>43</v>
      </c>
      <c r="AE79" s="12" t="s">
        <v>44</v>
      </c>
      <c r="AF79" s="14">
        <f t="shared" si="0"/>
        <v>0.332978</v>
      </c>
      <c r="AG79" s="11" t="s">
        <v>64</v>
      </c>
    </row>
    <row r="80" spans="1:33" x14ac:dyDescent="0.2">
      <c r="A80" s="8">
        <v>8872</v>
      </c>
      <c r="B80" s="9" t="s">
        <v>265</v>
      </c>
      <c r="C80" s="10">
        <v>43497</v>
      </c>
      <c r="D80" s="11">
        <v>139</v>
      </c>
      <c r="E80" s="12" t="s">
        <v>34</v>
      </c>
      <c r="F80" s="12" t="s">
        <v>35</v>
      </c>
      <c r="G80" s="12" t="s">
        <v>35</v>
      </c>
      <c r="H80" s="12" t="s">
        <v>36</v>
      </c>
      <c r="I80" s="11" t="s">
        <v>296</v>
      </c>
      <c r="J80" s="12" t="s">
        <v>297</v>
      </c>
      <c r="K80" s="13" t="s">
        <v>39</v>
      </c>
      <c r="L80" s="11" t="str">
        <f>"000057"</f>
        <v>000057</v>
      </c>
      <c r="M80" s="10">
        <v>43217</v>
      </c>
      <c r="N80" s="11" t="str">
        <f>"000036"</f>
        <v>000036</v>
      </c>
      <c r="O80" s="10">
        <v>43217</v>
      </c>
      <c r="P80" s="11" t="str">
        <f>"000061"</f>
        <v>000061</v>
      </c>
      <c r="Q80" s="10">
        <v>43218</v>
      </c>
      <c r="R80" s="11"/>
      <c r="S80" s="11" t="str">
        <f>"008620"</f>
        <v>008620</v>
      </c>
      <c r="T80" s="10">
        <v>43472</v>
      </c>
      <c r="U80" s="14">
        <v>16.649999999999999</v>
      </c>
      <c r="V80" s="14">
        <v>1.9646999999999999</v>
      </c>
      <c r="W80" s="14">
        <v>14.6853</v>
      </c>
      <c r="X80" s="11">
        <v>336</v>
      </c>
      <c r="Y80" s="10">
        <v>43497</v>
      </c>
      <c r="Z80" s="11">
        <v>9916950205</v>
      </c>
      <c r="AA80" s="12" t="s">
        <v>67</v>
      </c>
      <c r="AB80" s="11" t="s">
        <v>169</v>
      </c>
      <c r="AC80" s="12" t="s">
        <v>170</v>
      </c>
      <c r="AD80" s="11" t="s">
        <v>43</v>
      </c>
      <c r="AE80" s="12" t="s">
        <v>44</v>
      </c>
      <c r="AF80" s="14">
        <f t="shared" si="0"/>
        <v>0.16649999999999998</v>
      </c>
      <c r="AG80" s="11" t="s">
        <v>64</v>
      </c>
    </row>
    <row r="81" spans="1:33" x14ac:dyDescent="0.2">
      <c r="A81" s="8">
        <v>8873</v>
      </c>
      <c r="B81" s="9" t="s">
        <v>265</v>
      </c>
      <c r="C81" s="10">
        <v>43497</v>
      </c>
      <c r="D81" s="11">
        <v>139</v>
      </c>
      <c r="E81" s="12" t="s">
        <v>34</v>
      </c>
      <c r="F81" s="12" t="s">
        <v>35</v>
      </c>
      <c r="G81" s="12" t="s">
        <v>35</v>
      </c>
      <c r="H81" s="12" t="s">
        <v>36</v>
      </c>
      <c r="I81" s="11" t="s">
        <v>298</v>
      </c>
      <c r="J81" s="12" t="s">
        <v>299</v>
      </c>
      <c r="K81" s="13" t="s">
        <v>60</v>
      </c>
      <c r="L81" s="11" t="str">
        <f>"000071"</f>
        <v>000071</v>
      </c>
      <c r="M81" s="10">
        <v>43217</v>
      </c>
      <c r="N81" s="11" t="str">
        <f>"000048"</f>
        <v>000048</v>
      </c>
      <c r="O81" s="10">
        <v>43218</v>
      </c>
      <c r="P81" s="11" t="str">
        <f>"000067"</f>
        <v>000067</v>
      </c>
      <c r="Q81" s="10">
        <v>43218</v>
      </c>
      <c r="R81" s="11"/>
      <c r="S81" s="11" t="str">
        <f>"008621"</f>
        <v>008621</v>
      </c>
      <c r="T81" s="10">
        <v>43472</v>
      </c>
      <c r="U81" s="14">
        <v>22.198730000000001</v>
      </c>
      <c r="V81" s="14">
        <v>2.7304499999999998</v>
      </c>
      <c r="W81" s="14">
        <v>19.46828</v>
      </c>
      <c r="X81" s="11">
        <v>336</v>
      </c>
      <c r="Y81" s="10">
        <v>43497</v>
      </c>
      <c r="Z81" s="11">
        <v>9916950205</v>
      </c>
      <c r="AA81" s="12" t="s">
        <v>71</v>
      </c>
      <c r="AB81" s="11" t="s">
        <v>300</v>
      </c>
      <c r="AC81" s="12" t="s">
        <v>301</v>
      </c>
      <c r="AD81" s="11" t="s">
        <v>43</v>
      </c>
      <c r="AE81" s="12" t="s">
        <v>44</v>
      </c>
      <c r="AF81" s="14">
        <f t="shared" si="0"/>
        <v>0.2219873</v>
      </c>
      <c r="AG81" s="11" t="s">
        <v>64</v>
      </c>
    </row>
    <row r="82" spans="1:33" x14ac:dyDescent="0.2">
      <c r="A82" s="8">
        <v>8875</v>
      </c>
      <c r="B82" s="9" t="s">
        <v>265</v>
      </c>
      <c r="C82" s="10">
        <v>43497</v>
      </c>
      <c r="D82" s="11">
        <v>139</v>
      </c>
      <c r="E82" s="12" t="s">
        <v>34</v>
      </c>
      <c r="F82" s="12" t="s">
        <v>35</v>
      </c>
      <c r="G82" s="12" t="s">
        <v>35</v>
      </c>
      <c r="H82" s="12" t="s">
        <v>36</v>
      </c>
      <c r="I82" s="11" t="s">
        <v>302</v>
      </c>
      <c r="J82" s="12" t="s">
        <v>303</v>
      </c>
      <c r="K82" s="13" t="s">
        <v>60</v>
      </c>
      <c r="L82" s="11" t="str">
        <f>"000050"</f>
        <v>000050</v>
      </c>
      <c r="M82" s="10">
        <v>43217</v>
      </c>
      <c r="N82" s="11" t="str">
        <f>"000053"</f>
        <v>000053</v>
      </c>
      <c r="O82" s="10">
        <v>43218</v>
      </c>
      <c r="P82" s="11" t="str">
        <f>"000072"</f>
        <v>000072</v>
      </c>
      <c r="Q82" s="10">
        <v>43218</v>
      </c>
      <c r="R82" s="11"/>
      <c r="S82" s="11" t="str">
        <f>"008623"</f>
        <v>008623</v>
      </c>
      <c r="T82" s="10">
        <v>43472</v>
      </c>
      <c r="U82" s="14">
        <v>11.09388</v>
      </c>
      <c r="V82" s="14">
        <v>1.30908</v>
      </c>
      <c r="W82" s="14">
        <v>9.7848000000000006</v>
      </c>
      <c r="X82" s="11">
        <v>336</v>
      </c>
      <c r="Y82" s="10">
        <v>43497</v>
      </c>
      <c r="Z82" s="11">
        <v>9916950205</v>
      </c>
      <c r="AA82" s="12" t="s">
        <v>61</v>
      </c>
      <c r="AB82" s="11" t="s">
        <v>268</v>
      </c>
      <c r="AC82" s="12" t="s">
        <v>269</v>
      </c>
      <c r="AD82" s="11" t="s">
        <v>43</v>
      </c>
      <c r="AE82" s="12" t="s">
        <v>44</v>
      </c>
      <c r="AF82" s="14">
        <f t="shared" si="0"/>
        <v>0.1109388</v>
      </c>
      <c r="AG82" s="11" t="s">
        <v>64</v>
      </c>
    </row>
    <row r="83" spans="1:33" x14ac:dyDescent="0.2">
      <c r="A83" s="8">
        <v>8876</v>
      </c>
      <c r="B83" s="9" t="s">
        <v>265</v>
      </c>
      <c r="C83" s="10">
        <v>43497</v>
      </c>
      <c r="D83" s="11">
        <v>139</v>
      </c>
      <c r="E83" s="12" t="s">
        <v>34</v>
      </c>
      <c r="F83" s="12" t="s">
        <v>35</v>
      </c>
      <c r="G83" s="12" t="s">
        <v>35</v>
      </c>
      <c r="H83" s="12" t="s">
        <v>36</v>
      </c>
      <c r="I83" s="11" t="s">
        <v>304</v>
      </c>
      <c r="J83" s="12" t="s">
        <v>305</v>
      </c>
      <c r="K83" s="13" t="s">
        <v>306</v>
      </c>
      <c r="L83" s="11" t="str">
        <f>"000088"</f>
        <v>000088</v>
      </c>
      <c r="M83" s="10">
        <v>43218</v>
      </c>
      <c r="N83" s="11" t="str">
        <f>"000058"</f>
        <v>000058</v>
      </c>
      <c r="O83" s="10">
        <v>43218</v>
      </c>
      <c r="P83" s="11" t="str">
        <f>"000077"</f>
        <v>000077</v>
      </c>
      <c r="Q83" s="10">
        <v>43218</v>
      </c>
      <c r="R83" s="11"/>
      <c r="S83" s="11" t="str">
        <f>"008624"</f>
        <v>008624</v>
      </c>
      <c r="T83" s="10">
        <v>43472</v>
      </c>
      <c r="U83" s="14">
        <v>11.095129999999999</v>
      </c>
      <c r="V83" s="14">
        <v>1.3092200000000001</v>
      </c>
      <c r="W83" s="14">
        <v>9.7859099999999994</v>
      </c>
      <c r="X83" s="11">
        <v>336</v>
      </c>
      <c r="Y83" s="10">
        <v>43497</v>
      </c>
      <c r="Z83" s="11">
        <v>9916950205</v>
      </c>
      <c r="AA83" s="12" t="s">
        <v>67</v>
      </c>
      <c r="AB83" s="11" t="s">
        <v>169</v>
      </c>
      <c r="AC83" s="12" t="s">
        <v>170</v>
      </c>
      <c r="AD83" s="11" t="s">
        <v>43</v>
      </c>
      <c r="AE83" s="12" t="s">
        <v>44</v>
      </c>
      <c r="AF83" s="14">
        <f t="shared" si="0"/>
        <v>0.11095129999999999</v>
      </c>
      <c r="AG83" s="11" t="s">
        <v>64</v>
      </c>
    </row>
    <row r="84" spans="1:33" x14ac:dyDescent="0.2">
      <c r="A84" s="8">
        <v>9096</v>
      </c>
      <c r="B84" s="9" t="s">
        <v>265</v>
      </c>
      <c r="C84" s="10">
        <v>43508</v>
      </c>
      <c r="D84" s="11">
        <v>139</v>
      </c>
      <c r="E84" s="12" t="s">
        <v>34</v>
      </c>
      <c r="F84" s="12" t="s">
        <v>35</v>
      </c>
      <c r="G84" s="12" t="s">
        <v>35</v>
      </c>
      <c r="H84" s="12" t="s">
        <v>36</v>
      </c>
      <c r="I84" s="11" t="s">
        <v>307</v>
      </c>
      <c r="J84" s="12" t="s">
        <v>308</v>
      </c>
      <c r="K84" s="13" t="s">
        <v>76</v>
      </c>
      <c r="L84" s="11" t="str">
        <f>"000027"</f>
        <v>000027</v>
      </c>
      <c r="M84" s="10">
        <v>42109</v>
      </c>
      <c r="N84" s="11" t="str">
        <f>"000102"</f>
        <v>000102</v>
      </c>
      <c r="O84" s="10">
        <v>43411</v>
      </c>
      <c r="P84" s="11" t="str">
        <f>"000035"</f>
        <v>000035</v>
      </c>
      <c r="Q84" s="10">
        <v>42170</v>
      </c>
      <c r="R84" s="11"/>
      <c r="S84" s="11" t="str">
        <f>"008514"</f>
        <v>008514</v>
      </c>
      <c r="T84" s="10">
        <v>43468</v>
      </c>
      <c r="U84" s="14">
        <v>9.4027700000000003</v>
      </c>
      <c r="V84" s="14">
        <v>1.1902200000000001</v>
      </c>
      <c r="W84" s="14">
        <v>8.2125500000000002</v>
      </c>
      <c r="X84" s="11">
        <v>348</v>
      </c>
      <c r="Y84" s="10">
        <v>43508</v>
      </c>
      <c r="Z84" s="11">
        <v>9945417770</v>
      </c>
      <c r="AA84" s="12" t="s">
        <v>242</v>
      </c>
      <c r="AB84" s="11" t="s">
        <v>78</v>
      </c>
      <c r="AC84" s="12" t="s">
        <v>79</v>
      </c>
      <c r="AD84" s="11" t="s">
        <v>43</v>
      </c>
      <c r="AE84" s="12" t="s">
        <v>44</v>
      </c>
      <c r="AF84" s="14">
        <f t="shared" si="0"/>
        <v>9.4027700000000006E-2</v>
      </c>
      <c r="AG84" s="11" t="s">
        <v>125</v>
      </c>
    </row>
    <row r="85" spans="1:33" x14ac:dyDescent="0.2">
      <c r="A85" s="8">
        <v>9103</v>
      </c>
      <c r="B85" s="9" t="s">
        <v>265</v>
      </c>
      <c r="C85" s="10">
        <v>43508</v>
      </c>
      <c r="D85" s="11">
        <v>139</v>
      </c>
      <c r="E85" s="12" t="s">
        <v>34</v>
      </c>
      <c r="F85" s="12" t="s">
        <v>35</v>
      </c>
      <c r="G85" s="12" t="s">
        <v>35</v>
      </c>
      <c r="H85" s="12" t="s">
        <v>36</v>
      </c>
      <c r="I85" s="11" t="s">
        <v>309</v>
      </c>
      <c r="J85" s="12" t="s">
        <v>310</v>
      </c>
      <c r="K85" s="13" t="s">
        <v>76</v>
      </c>
      <c r="L85" s="11" t="str">
        <f>"000028"</f>
        <v>000028</v>
      </c>
      <c r="M85" s="10">
        <v>42109</v>
      </c>
      <c r="N85" s="11" t="str">
        <f>"000104"</f>
        <v>000104</v>
      </c>
      <c r="O85" s="10">
        <v>43411</v>
      </c>
      <c r="P85" s="11" t="str">
        <f>"0000033"</f>
        <v>0000033</v>
      </c>
      <c r="Q85" s="10">
        <v>42170</v>
      </c>
      <c r="R85" s="11"/>
      <c r="S85" s="11" t="str">
        <f>"008521"</f>
        <v>008521</v>
      </c>
      <c r="T85" s="10">
        <v>43468</v>
      </c>
      <c r="U85" s="14">
        <v>9.3944600000000005</v>
      </c>
      <c r="V85" s="14">
        <v>1.18536</v>
      </c>
      <c r="W85" s="14">
        <v>8.2090999999999994</v>
      </c>
      <c r="X85" s="11">
        <v>348</v>
      </c>
      <c r="Y85" s="10">
        <v>43508</v>
      </c>
      <c r="Z85" s="11">
        <v>9945417770</v>
      </c>
      <c r="AA85" s="12" t="s">
        <v>242</v>
      </c>
      <c r="AB85" s="11" t="s">
        <v>78</v>
      </c>
      <c r="AC85" s="12" t="s">
        <v>79</v>
      </c>
      <c r="AD85" s="11" t="s">
        <v>43</v>
      </c>
      <c r="AE85" s="12" t="s">
        <v>44</v>
      </c>
      <c r="AF85" s="14">
        <f t="shared" si="0"/>
        <v>9.3944600000000003E-2</v>
      </c>
      <c r="AG85" s="11" t="s">
        <v>125</v>
      </c>
    </row>
    <row r="86" spans="1:33" x14ac:dyDescent="0.2">
      <c r="A86" s="8">
        <v>9350</v>
      </c>
      <c r="B86" s="9" t="s">
        <v>265</v>
      </c>
      <c r="C86" s="10">
        <v>43521</v>
      </c>
      <c r="D86" s="11">
        <v>139</v>
      </c>
      <c r="E86" s="12" t="s">
        <v>34</v>
      </c>
      <c r="F86" s="12" t="s">
        <v>35</v>
      </c>
      <c r="G86" s="12" t="s">
        <v>35</v>
      </c>
      <c r="H86" s="12" t="s">
        <v>36</v>
      </c>
      <c r="I86" s="11" t="s">
        <v>311</v>
      </c>
      <c r="J86" s="12" t="s">
        <v>312</v>
      </c>
      <c r="K86" s="13" t="s">
        <v>60</v>
      </c>
      <c r="L86" s="11" t="str">
        <f>"000037"</f>
        <v>000037</v>
      </c>
      <c r="M86" s="10">
        <v>43217</v>
      </c>
      <c r="N86" s="11" t="str">
        <f>"000021"</f>
        <v>000021</v>
      </c>
      <c r="O86" s="10">
        <v>43217</v>
      </c>
      <c r="P86" s="11" t="str">
        <f>"000057"</f>
        <v>000057</v>
      </c>
      <c r="Q86" s="10">
        <v>43218</v>
      </c>
      <c r="R86" s="11"/>
      <c r="S86" s="11" t="str">
        <f>"009299"</f>
        <v>009299</v>
      </c>
      <c r="T86" s="10">
        <v>43516</v>
      </c>
      <c r="U86" s="14">
        <v>11.088480000000001</v>
      </c>
      <c r="V86" s="14">
        <v>1.3083199999999999</v>
      </c>
      <c r="W86" s="14">
        <v>9.7801600000000004</v>
      </c>
      <c r="X86" s="11">
        <v>360</v>
      </c>
      <c r="Y86" s="10">
        <v>43521</v>
      </c>
      <c r="Z86" s="11">
        <v>9916950205</v>
      </c>
      <c r="AA86" s="12" t="s">
        <v>67</v>
      </c>
      <c r="AB86" s="11" t="s">
        <v>268</v>
      </c>
      <c r="AC86" s="12" t="s">
        <v>269</v>
      </c>
      <c r="AD86" s="11" t="s">
        <v>43</v>
      </c>
      <c r="AE86" s="12" t="s">
        <v>44</v>
      </c>
      <c r="AF86" s="14">
        <f t="shared" si="0"/>
        <v>0.11088480000000001</v>
      </c>
      <c r="AG86" s="11" t="s">
        <v>64</v>
      </c>
    </row>
    <row r="87" spans="1:33" x14ac:dyDescent="0.2">
      <c r="A87" s="8">
        <v>9736</v>
      </c>
      <c r="B87" s="9" t="s">
        <v>313</v>
      </c>
      <c r="C87" s="10">
        <v>43544</v>
      </c>
      <c r="D87" s="11">
        <v>139</v>
      </c>
      <c r="E87" s="12" t="s">
        <v>34</v>
      </c>
      <c r="F87" s="12" t="s">
        <v>35</v>
      </c>
      <c r="G87" s="12" t="s">
        <v>35</v>
      </c>
      <c r="H87" s="12" t="s">
        <v>36</v>
      </c>
      <c r="I87" s="11" t="s">
        <v>314</v>
      </c>
      <c r="J87" s="12" t="s">
        <v>315</v>
      </c>
      <c r="K87" s="13" t="s">
        <v>88</v>
      </c>
      <c r="L87" s="11" t="str">
        <f>"000191"</f>
        <v>000191</v>
      </c>
      <c r="M87" s="10">
        <v>43150</v>
      </c>
      <c r="N87" s="11" t="str">
        <f>"000118"</f>
        <v>000118</v>
      </c>
      <c r="O87" s="10">
        <v>43151</v>
      </c>
      <c r="P87" s="11" t="str">
        <f>"000187"</f>
        <v>000187</v>
      </c>
      <c r="Q87" s="10">
        <v>43151</v>
      </c>
      <c r="R87" s="11"/>
      <c r="S87" s="11" t="str">
        <f>"009722"</f>
        <v>009722</v>
      </c>
      <c r="T87" s="10">
        <v>43538</v>
      </c>
      <c r="U87" s="14">
        <v>22.166699999999999</v>
      </c>
      <c r="V87" s="14">
        <v>2.7265199999999998</v>
      </c>
      <c r="W87" s="14">
        <v>19.440180000000002</v>
      </c>
      <c r="X87" s="11">
        <v>378</v>
      </c>
      <c r="Y87" s="10">
        <v>43544</v>
      </c>
      <c r="Z87" s="11">
        <v>9916950205</v>
      </c>
      <c r="AA87" s="12" t="s">
        <v>67</v>
      </c>
      <c r="AB87" s="11" t="s">
        <v>132</v>
      </c>
      <c r="AC87" s="12" t="s">
        <v>133</v>
      </c>
      <c r="AD87" s="11" t="s">
        <v>43</v>
      </c>
      <c r="AE87" s="12" t="s">
        <v>44</v>
      </c>
      <c r="AF87" s="14">
        <f t="shared" si="0"/>
        <v>0.22166699999999998</v>
      </c>
      <c r="AG87" s="11" t="s">
        <v>45</v>
      </c>
    </row>
    <row r="88" spans="1:33" x14ac:dyDescent="0.2">
      <c r="A88" s="8">
        <v>9738</v>
      </c>
      <c r="B88" s="9" t="s">
        <v>313</v>
      </c>
      <c r="C88" s="10">
        <v>43544</v>
      </c>
      <c r="D88" s="11">
        <v>139</v>
      </c>
      <c r="E88" s="12" t="s">
        <v>34</v>
      </c>
      <c r="F88" s="12" t="s">
        <v>35</v>
      </c>
      <c r="G88" s="12" t="s">
        <v>35</v>
      </c>
      <c r="H88" s="12" t="s">
        <v>36</v>
      </c>
      <c r="I88" s="11" t="s">
        <v>316</v>
      </c>
      <c r="J88" s="12" t="s">
        <v>317</v>
      </c>
      <c r="K88" s="13" t="s">
        <v>60</v>
      </c>
      <c r="L88" s="11" t="str">
        <f>"000041"</f>
        <v>000041</v>
      </c>
      <c r="M88" s="10">
        <v>43217</v>
      </c>
      <c r="N88" s="11" t="str">
        <f>"000041"</f>
        <v>000041</v>
      </c>
      <c r="O88" s="10">
        <v>43217</v>
      </c>
      <c r="P88" s="11" t="str">
        <f>"000034"</f>
        <v>000034</v>
      </c>
      <c r="Q88" s="10">
        <v>43217</v>
      </c>
      <c r="R88" s="11"/>
      <c r="S88" s="11" t="str">
        <f>"009731"</f>
        <v>009731</v>
      </c>
      <c r="T88" s="10">
        <v>43538</v>
      </c>
      <c r="U88" s="14">
        <v>22.197559999999999</v>
      </c>
      <c r="V88" s="14">
        <v>2.73028</v>
      </c>
      <c r="W88" s="14">
        <v>19.467279999999999</v>
      </c>
      <c r="X88" s="11">
        <v>378</v>
      </c>
      <c r="Y88" s="10">
        <v>43544</v>
      </c>
      <c r="Z88" s="11">
        <v>9916950205</v>
      </c>
      <c r="AA88" s="12" t="s">
        <v>67</v>
      </c>
      <c r="AB88" s="11" t="s">
        <v>318</v>
      </c>
      <c r="AC88" s="12" t="s">
        <v>319</v>
      </c>
      <c r="AD88" s="11" t="s">
        <v>43</v>
      </c>
      <c r="AE88" s="12" t="s">
        <v>44</v>
      </c>
      <c r="AF88" s="14">
        <f t="shared" si="0"/>
        <v>0.2219756</v>
      </c>
      <c r="AG88" s="11" t="s">
        <v>64</v>
      </c>
    </row>
    <row r="89" spans="1:33" x14ac:dyDescent="0.2">
      <c r="A89" s="8">
        <v>9739</v>
      </c>
      <c r="B89" s="9" t="s">
        <v>313</v>
      </c>
      <c r="C89" s="10">
        <v>43544</v>
      </c>
      <c r="D89" s="11">
        <v>139</v>
      </c>
      <c r="E89" s="12" t="s">
        <v>34</v>
      </c>
      <c r="F89" s="12" t="s">
        <v>35</v>
      </c>
      <c r="G89" s="12" t="s">
        <v>35</v>
      </c>
      <c r="H89" s="12" t="s">
        <v>36</v>
      </c>
      <c r="I89" s="11" t="s">
        <v>320</v>
      </c>
      <c r="J89" s="12" t="s">
        <v>321</v>
      </c>
      <c r="K89" s="13" t="s">
        <v>39</v>
      </c>
      <c r="L89" s="11" t="str">
        <f>"000066"</f>
        <v>000066</v>
      </c>
      <c r="M89" s="10">
        <v>43217</v>
      </c>
      <c r="N89" s="11" t="str">
        <f>"000029"</f>
        <v>000029</v>
      </c>
      <c r="O89" s="10">
        <v>43217</v>
      </c>
      <c r="P89" s="11" t="str">
        <f>"000050"</f>
        <v>000050</v>
      </c>
      <c r="Q89" s="10">
        <v>43218</v>
      </c>
      <c r="R89" s="11"/>
      <c r="S89" s="11" t="str">
        <f>"009733"</f>
        <v>009733</v>
      </c>
      <c r="T89" s="10">
        <v>43538</v>
      </c>
      <c r="U89" s="14">
        <v>22.190020000000001</v>
      </c>
      <c r="V89" s="14">
        <v>2.7293699999999999</v>
      </c>
      <c r="W89" s="14">
        <v>19.460650000000001</v>
      </c>
      <c r="X89" s="11">
        <v>378</v>
      </c>
      <c r="Y89" s="10">
        <v>43544</v>
      </c>
      <c r="Z89" s="11">
        <v>9916950205</v>
      </c>
      <c r="AA89" s="12" t="s">
        <v>67</v>
      </c>
      <c r="AB89" s="11" t="s">
        <v>169</v>
      </c>
      <c r="AC89" s="12" t="s">
        <v>170</v>
      </c>
      <c r="AD89" s="11" t="s">
        <v>43</v>
      </c>
      <c r="AE89" s="12" t="s">
        <v>44</v>
      </c>
      <c r="AF89" s="14">
        <f t="shared" si="0"/>
        <v>0.22190019999999999</v>
      </c>
      <c r="AG89" s="11" t="s">
        <v>64</v>
      </c>
    </row>
    <row r="90" spans="1:33" x14ac:dyDescent="0.2">
      <c r="A90" s="8">
        <v>9740</v>
      </c>
      <c r="B90" s="9" t="s">
        <v>313</v>
      </c>
      <c r="C90" s="10">
        <v>43544</v>
      </c>
      <c r="D90" s="11">
        <v>139</v>
      </c>
      <c r="E90" s="12" t="s">
        <v>34</v>
      </c>
      <c r="F90" s="12" t="s">
        <v>35</v>
      </c>
      <c r="G90" s="12" t="s">
        <v>35</v>
      </c>
      <c r="H90" s="12" t="s">
        <v>36</v>
      </c>
      <c r="I90" s="11" t="s">
        <v>322</v>
      </c>
      <c r="J90" s="12" t="s">
        <v>323</v>
      </c>
      <c r="K90" s="13" t="s">
        <v>259</v>
      </c>
      <c r="L90" s="11" t="str">
        <f>"000024"</f>
        <v>000024</v>
      </c>
      <c r="M90" s="10">
        <v>43217</v>
      </c>
      <c r="N90" s="11" t="str">
        <f>"000023"</f>
        <v>000023</v>
      </c>
      <c r="O90" s="10">
        <v>43217</v>
      </c>
      <c r="P90" s="11" t="str">
        <f>"000063"</f>
        <v>000063</v>
      </c>
      <c r="Q90" s="10">
        <v>43218</v>
      </c>
      <c r="R90" s="11"/>
      <c r="S90" s="11" t="str">
        <f>"009738"</f>
        <v>009738</v>
      </c>
      <c r="T90" s="10">
        <v>43538</v>
      </c>
      <c r="U90" s="14">
        <v>22.197559999999999</v>
      </c>
      <c r="V90" s="14">
        <v>2.7303099999999998</v>
      </c>
      <c r="W90" s="14">
        <v>19.46725</v>
      </c>
      <c r="X90" s="11">
        <v>378</v>
      </c>
      <c r="Y90" s="10">
        <v>43544</v>
      </c>
      <c r="Z90" s="11">
        <v>9916950205</v>
      </c>
      <c r="AA90" s="12" t="s">
        <v>67</v>
      </c>
      <c r="AB90" s="11" t="s">
        <v>286</v>
      </c>
      <c r="AC90" s="12" t="s">
        <v>287</v>
      </c>
      <c r="AD90" s="11" t="s">
        <v>43</v>
      </c>
      <c r="AE90" s="12" t="s">
        <v>44</v>
      </c>
      <c r="AF90" s="14">
        <f t="shared" si="0"/>
        <v>0.2219756</v>
      </c>
      <c r="AG90" s="11" t="s">
        <v>64</v>
      </c>
    </row>
    <row r="91" spans="1:33" x14ac:dyDescent="0.2">
      <c r="A91" s="8">
        <v>9742</v>
      </c>
      <c r="B91" s="9" t="s">
        <v>313</v>
      </c>
      <c r="C91" s="10">
        <v>43544</v>
      </c>
      <c r="D91" s="11">
        <v>139</v>
      </c>
      <c r="E91" s="12" t="s">
        <v>34</v>
      </c>
      <c r="F91" s="12" t="s">
        <v>35</v>
      </c>
      <c r="G91" s="12" t="s">
        <v>35</v>
      </c>
      <c r="H91" s="12" t="s">
        <v>36</v>
      </c>
      <c r="I91" s="11" t="s">
        <v>324</v>
      </c>
      <c r="J91" s="12" t="s">
        <v>325</v>
      </c>
      <c r="K91" s="13" t="s">
        <v>39</v>
      </c>
      <c r="L91" s="11" t="str">
        <f>"000099"</f>
        <v>000099</v>
      </c>
      <c r="M91" s="10">
        <v>43224</v>
      </c>
      <c r="N91" s="11" t="str">
        <f>"000066"</f>
        <v>000066</v>
      </c>
      <c r="O91" s="10">
        <v>43224</v>
      </c>
      <c r="P91" s="11" t="str">
        <f>"000100"</f>
        <v>000100</v>
      </c>
      <c r="Q91" s="10">
        <v>43224</v>
      </c>
      <c r="R91" s="11"/>
      <c r="S91" s="11" t="str">
        <f>"009746"</f>
        <v>009746</v>
      </c>
      <c r="T91" s="10">
        <v>43538</v>
      </c>
      <c r="U91" s="14">
        <v>22.186610000000002</v>
      </c>
      <c r="V91" s="14">
        <v>2.7289699999999999</v>
      </c>
      <c r="W91" s="14">
        <v>19.457640000000001</v>
      </c>
      <c r="X91" s="11">
        <v>378</v>
      </c>
      <c r="Y91" s="10">
        <v>43544</v>
      </c>
      <c r="Z91" s="11">
        <v>9916950205</v>
      </c>
      <c r="AA91" s="12" t="s">
        <v>326</v>
      </c>
      <c r="AB91" s="11" t="s">
        <v>78</v>
      </c>
      <c r="AC91" s="12" t="s">
        <v>79</v>
      </c>
      <c r="AD91" s="11" t="s">
        <v>43</v>
      </c>
      <c r="AE91" s="12" t="s">
        <v>44</v>
      </c>
      <c r="AF91" s="14">
        <f t="shared" si="0"/>
        <v>0.22186610000000001</v>
      </c>
      <c r="AG91" s="11" t="s">
        <v>64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2019-06-13T11:54:32Z</dcterms:modified>
</cp:coreProperties>
</file>