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6" i="1" l="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AF14" i="1"/>
  <c r="S14" i="1"/>
  <c r="P14" i="1"/>
  <c r="N14" i="1"/>
  <c r="L14" i="1"/>
  <c r="AF13" i="1"/>
  <c r="S13" i="1"/>
  <c r="P13" i="1"/>
  <c r="N13" i="1"/>
  <c r="L13" i="1"/>
  <c r="AF12" i="1"/>
  <c r="S12" i="1"/>
  <c r="P12" i="1"/>
  <c r="N12" i="1"/>
  <c r="L12" i="1"/>
  <c r="AF11" i="1"/>
  <c r="S11" i="1"/>
  <c r="P11" i="1"/>
  <c r="N11" i="1"/>
  <c r="L11" i="1"/>
  <c r="AF10" i="1"/>
  <c r="S10" i="1"/>
  <c r="P10" i="1"/>
  <c r="N10" i="1"/>
  <c r="L10" i="1"/>
  <c r="AF9" i="1"/>
  <c r="S9" i="1"/>
  <c r="P9" i="1"/>
  <c r="N9" i="1"/>
  <c r="L9" i="1"/>
  <c r="AF8" i="1"/>
  <c r="S8" i="1"/>
  <c r="P8" i="1"/>
  <c r="N8" i="1"/>
  <c r="L8" i="1"/>
  <c r="AF7" i="1"/>
  <c r="S7" i="1"/>
  <c r="P7" i="1"/>
  <c r="N7" i="1"/>
  <c r="L7" i="1"/>
  <c r="AF6" i="1"/>
  <c r="S6" i="1"/>
  <c r="P6" i="1"/>
  <c r="N6" i="1"/>
  <c r="L6" i="1"/>
  <c r="AF5"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<sst xmlns="http://schemas.openxmlformats.org/spreadsheetml/2006/main" count="383" uniqueCount="156">
  <si>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</si>
  <si>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</si>
  <si>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</si>
  <si>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</si>
  <si>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</si>
  <si>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</si>
  <si>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</si>
  <si>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</si>
  <si>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</si>
  <si>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</si>
  <si>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</si>
  <si>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</si>
  <si>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</si>
  <si>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</si>
  <si>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</si>
  <si>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</si>
  <si>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</si>
  <si>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</si>
  <si>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</si>
  <si>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</si>
  <si>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</si>
  <si>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</si>
  <si>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</si>
  <si>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</si>
  <si>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</si>
  <si>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</si>
  <si>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</si>
  <si>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</si>
  <si>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</si>
  <si>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</si>
  <si>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</si>
  <si>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</si>
  <si>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</si>
  <si>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August</t>
  </si>
  <si>
    <t>Chamaraja Pete</t>
  </si>
  <si>
    <t>West</t>
  </si>
  <si>
    <t>140-16-000001</t>
  </si>
  <si>
    <t>Annual Operation And maintenance Of Street Lights at Chamarajapet in Ward No- 140</t>
  </si>
  <si>
    <t>Footpaths &amp; Walkability</t>
  </si>
  <si>
    <t>Sree Hari Electricals</t>
  </si>
  <si>
    <t>P0300</t>
  </si>
  <si>
    <t>M and R to Street Lights - Replacement of Burnt Bulbs etc. (Package)</t>
  </si>
  <si>
    <t>ddo209</t>
  </si>
  <si>
    <t xml:space="preserve"> Assistant Executive Engineer Electrical West Zone</t>
  </si>
  <si>
    <t>Pending</t>
  </si>
  <si>
    <t>314-12-000041</t>
  </si>
  <si>
    <t>Annual Street light maintenance at ward no 140 Package-W17</t>
  </si>
  <si>
    <t>Himagiri Shree Electricals</t>
  </si>
  <si>
    <t>140-16-000008</t>
  </si>
  <si>
    <t>Providing restoration work at Dasappa Garden and Krishnappa Layout</t>
  </si>
  <si>
    <t>Other Ward Works</t>
  </si>
  <si>
    <t>A.V.RAVINDRA.</t>
  </si>
  <si>
    <t>P1771</t>
  </si>
  <si>
    <t>Zone Works - POW Works</t>
  </si>
  <si>
    <t>ddo205</t>
  </si>
  <si>
    <t xml:space="preserve"> Assistant Executive Engineer Chamarajpet West Zone</t>
  </si>
  <si>
    <t>September</t>
  </si>
  <si>
    <t>140-17-000001</t>
  </si>
  <si>
    <t>Improvements to Azadnagar Kothi park in ward no 140</t>
  </si>
  <si>
    <t>Trees, Parks &amp; Playgrounds</t>
  </si>
  <si>
    <t>V Narayanaswamy</t>
  </si>
  <si>
    <t>P0190</t>
  </si>
  <si>
    <t>Works sanctioned by Hon Mayor</t>
  </si>
  <si>
    <t>140-18-000050</t>
  </si>
  <si>
    <t>Maintenance and improvements to parks in ward no 140</t>
  </si>
  <si>
    <t>Karnataka Rural Infrastruture development ltd</t>
  </si>
  <si>
    <t>P3292</t>
  </si>
  <si>
    <t>14th Finance Commission Works - Community Property Maintenance (including Parks)</t>
  </si>
  <si>
    <t>Current</t>
  </si>
  <si>
    <t>140-18-000049</t>
  </si>
  <si>
    <t>Maintenance and repairs to existing BBMP Office premises in ward no 140</t>
  </si>
  <si>
    <t>P3291</t>
  </si>
  <si>
    <t>14th Fin  -Maintenance of Cremotorium, Burial Grounds</t>
  </si>
  <si>
    <t>140-18-000056</t>
  </si>
  <si>
    <t>Providing drinking water works in ward no 140</t>
  </si>
  <si>
    <t>Drinking Water</t>
  </si>
  <si>
    <t>P3293</t>
  </si>
  <si>
    <t>14th Finance Commission Works - Drinking Water</t>
  </si>
  <si>
    <t>140-18-000055</t>
  </si>
  <si>
    <t>Development works to SWM centre in ward no 140</t>
  </si>
  <si>
    <t xml:space="preserve"> Karnataka Rural Infrastruture development ltd</t>
  </si>
  <si>
    <t>P3298</t>
  </si>
  <si>
    <t>14th Finance Commission Works - SWM Works</t>
  </si>
  <si>
    <t>140-18-000053</t>
  </si>
  <si>
    <t>improvements to footpath roads in ward jurisdiction in ward no 140</t>
  </si>
  <si>
    <t>P3296</t>
  </si>
  <si>
    <t>14th Finance Commission Works - Road and Footpath Maintenance</t>
  </si>
  <si>
    <t>140-18-000052</t>
  </si>
  <si>
    <t>Providing and improvements to UGD lines to conservancy lanes in ward no 140</t>
  </si>
  <si>
    <t>Water &amp; Sanitary</t>
  </si>
  <si>
    <t>P3295</t>
  </si>
  <si>
    <t>14th Finance Commission Works - UGD Works</t>
  </si>
  <si>
    <t>140-18-000054</t>
  </si>
  <si>
    <t>Improvements and repairs to damaged secondary drain of SWD in ward no 140</t>
  </si>
  <si>
    <t>Storm Water Drains</t>
  </si>
  <si>
    <t>P3297</t>
  </si>
  <si>
    <t>14th Finance Commission Grants - SWD Works</t>
  </si>
  <si>
    <t>140-18-000051</t>
  </si>
  <si>
    <t>Maintenance and improvements to existing toilets in ward no 140</t>
  </si>
  <si>
    <t>Health &amp; Sanitation</t>
  </si>
  <si>
    <t>P3294</t>
  </si>
  <si>
    <t>14th Finance Commission Works - General Public ToiletandSeptage Maintenance</t>
  </si>
  <si>
    <t>October</t>
  </si>
  <si>
    <t>140-17-000004</t>
  </si>
  <si>
    <t>Maintenance and desilting and repairs of roads and drains in Chamarajapete in ward no 140</t>
  </si>
  <si>
    <t>Roads &amp; Drivablility</t>
  </si>
  <si>
    <t>140-17-000003</t>
  </si>
  <si>
    <t>Borewell point to ward no 140</t>
  </si>
  <si>
    <t>S Balaksrihna</t>
  </si>
  <si>
    <t>December</t>
  </si>
  <si>
    <t>140-14-000004</t>
  </si>
  <si>
    <t xml:space="preserve">Providing Potholes filling and Re doing the cut roads portion of roads of Ward No. 140 </t>
  </si>
  <si>
    <t>B M Chandraiah</t>
  </si>
  <si>
    <t>January</t>
  </si>
  <si>
    <t>140-17-000037</t>
  </si>
  <si>
    <t>Providing consultancy services for preparation DPR for the work of comprehensive development of roads with Asphalting Improvements to drains and footpath shoulder drain in chamrajpet sub division ward no 139 140 and 141 in Chamrajpet division (2016-17 and 2017-18 GOK works)</t>
  </si>
  <si>
    <t>M/s.Civil Quality Consultants &amp; Engineers</t>
  </si>
  <si>
    <t>P3158</t>
  </si>
  <si>
    <t>SIP Infrastructure Project works</t>
  </si>
  <si>
    <t>140-17-000034</t>
  </si>
  <si>
    <t>Development and improvements to works in Chamrajpete in ward no 140</t>
  </si>
  <si>
    <t xml:space="preserve">M S VENKATESH </t>
  </si>
  <si>
    <t>140-17-000028</t>
  </si>
  <si>
    <t>Improvement to drains from 4th Main 5th Cross to 5th Main 5th Cross in Ward No. 140</t>
  </si>
  <si>
    <t>Subramanya Naidu</t>
  </si>
  <si>
    <t>140-17-000053</t>
  </si>
  <si>
    <t>Providing Modren Dust Bin in Bangaluru city in ward no 140</t>
  </si>
  <si>
    <t>C Devaraju</t>
  </si>
  <si>
    <t>P3110</t>
  </si>
  <si>
    <t>14th Finance Commission Grant Works</t>
  </si>
  <si>
    <t>140-17-000051</t>
  </si>
  <si>
    <t>Engagement of Gangman and Hiring of Tractor Tipper for clening and maintenance of road side drains and other cleaning works in ward no 140</t>
  </si>
  <si>
    <t>R Shekar</t>
  </si>
  <si>
    <t>February</t>
  </si>
  <si>
    <t>140-17-000055</t>
  </si>
  <si>
    <t>Improvements to Dry Waste Collection Center and Surrounding area at Chamarajpet in ward no 140</t>
  </si>
  <si>
    <t>S Balakrishna</t>
  </si>
  <si>
    <t>140-18-000011</t>
  </si>
  <si>
    <t>Drilling and commissioning of new borwell and providing water supply line in Chamarajpet 3rd and 4th main surroundings in ward no-140</t>
  </si>
  <si>
    <t xml:space="preserve">B V Sridhar </t>
  </si>
  <si>
    <t>P1802</t>
  </si>
  <si>
    <t>Water Supply New Areas</t>
  </si>
  <si>
    <t>March</t>
  </si>
  <si>
    <t>140-18-000044</t>
  </si>
  <si>
    <t xml:space="preserve">Providing Repairs Maintenance works to BBMP School College, Chamarajpet in Ward No:140 </t>
  </si>
  <si>
    <t>Shivamadaiah</t>
  </si>
  <si>
    <t>P3285</t>
  </si>
  <si>
    <t>M and R of School and College buildings</t>
  </si>
  <si>
    <t>140-18-000102</t>
  </si>
  <si>
    <t>Providing Street light and maintenance at ward no 140</t>
  </si>
  <si>
    <t>Executive Engineer KRIDL</t>
  </si>
  <si>
    <t>P3290</t>
  </si>
  <si>
    <t>14th Finance Commission Works - Providing Street Lights and Maintenance</t>
  </si>
  <si>
    <t>140-16-000013</t>
  </si>
  <si>
    <t>Providing Borewell and Pipeline at Venkataramanagar and Dasappa Garden</t>
  </si>
  <si>
    <t>Spill Over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</si>
</sst>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tabSelected="1" workbookViewId="0">
      <pane ySplit="1" topLeftCell="A2" activePane="bottomLeft" state="frozen"/>
      <selection activeCell="H1" sqref="H1"/>
      <selection pane="bottomLeft" activeCell="A2" sqref="A2:XFD26"/>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4551</v>
      </c>
      <c r="B2" s="9" t="s">
        <v>33</v>
      </c>
      <c r="C2" s="10">
        <v>43318</v>
      </c>
      <c r="D2" s="11">
        <v>140</v>
      </c>
      <c r="E2" s="12" t="s">
        <v>34</v>
      </c>
      <c r="F2" s="12" t="s">
        <v>34</v>
      </c>
      <c r="G2" s="12" t="s">
        <v>34</v>
      </c>
      <c r="H2" s="12" t="s">
        <v>35</v>
      </c>
      <c r="I2" s="11" t="s">
        <v>36</v>
      </c>
      <c r="J2" s="12" t="s">
        <v>37</v>
      </c>
      <c r="K2" s="13" t="s">
        <v>38</v>
      </c>
      <c r="L2" s="11" t="str">
        <f>"000032"</f>
        <v>000032</v>
      </c>
      <c r="M2" s="10">
        <v>42943</v>
      </c>
      <c r="N2" s="11" t="str">
        <f>"000130"</f>
        <v>000130</v>
      </c>
      <c r="O2" s="10">
        <v>43187</v>
      </c>
      <c r="P2" s="11" t="str">
        <f>"000159"</f>
        <v>000159</v>
      </c>
      <c r="Q2" s="10">
        <v>43187</v>
      </c>
      <c r="R2" s="11">
        <v>16</v>
      </c>
      <c r="S2" s="11" t="str">
        <f>"004603"</f>
        <v>004603</v>
      </c>
      <c r="T2" s="10">
        <v>43313</v>
      </c>
      <c r="U2" s="14">
        <v>9.7550799999999995</v>
      </c>
      <c r="V2" s="14">
        <v>0.98526000000000002</v>
      </c>
      <c r="W2" s="14">
        <v>8.7698199999999993</v>
      </c>
      <c r="X2" s="11">
        <v>157</v>
      </c>
      <c r="Y2" s="10">
        <v>43318</v>
      </c>
      <c r="Z2" s="11">
        <v>9845273024</v>
      </c>
      <c r="AA2" s="12" t="s">
        <v>39</v>
      </c>
      <c r="AB2" s="11" t="s">
        <v>40</v>
      </c>
      <c r="AC2" s="12" t="s">
        <v>41</v>
      </c>
      <c r="AD2" s="11" t="s">
        <v>42</v>
      </c>
      <c r="AE2" s="12" t="s">
        <v>43</v>
      </c>
      <c r="AF2" s="14">
        <v>9.7550799999999993E-2</v>
      </c>
      <c r="AG2" s="11" t="s">
        <v>44</v>
      </c>
    </row>
    <row r="3" spans="1:33" x14ac:dyDescent="0.2">
      <c r="A3" s="8">
        <v>4552</v>
      </c>
      <c r="B3" s="9" t="s">
        <v>33</v>
      </c>
      <c r="C3" s="10">
        <v>43318</v>
      </c>
      <c r="D3" s="11">
        <v>140</v>
      </c>
      <c r="E3" s="12" t="s">
        <v>34</v>
      </c>
      <c r="F3" s="12" t="s">
        <v>34</v>
      </c>
      <c r="G3" s="12" t="s">
        <v>34</v>
      </c>
      <c r="H3" s="12" t="s">
        <v>35</v>
      </c>
      <c r="I3" s="11" t="s">
        <v>45</v>
      </c>
      <c r="J3" s="12" t="s">
        <v>46</v>
      </c>
      <c r="K3" s="13" t="s">
        <v>38</v>
      </c>
      <c r="L3" s="11" t="str">
        <f>"000071"</f>
        <v>000071</v>
      </c>
      <c r="M3" s="10">
        <v>41242</v>
      </c>
      <c r="N3" s="11" t="str">
        <f>"000009"</f>
        <v>000009</v>
      </c>
      <c r="O3" s="10">
        <v>42944</v>
      </c>
      <c r="P3" s="11" t="str">
        <f>"000006"</f>
        <v>000006</v>
      </c>
      <c r="Q3" s="10">
        <v>42944</v>
      </c>
      <c r="R3" s="11">
        <v>12</v>
      </c>
      <c r="S3" s="11" t="str">
        <f>"004825"</f>
        <v>004825</v>
      </c>
      <c r="T3" s="10">
        <v>43315</v>
      </c>
      <c r="U3" s="14">
        <v>1.9728300000000001</v>
      </c>
      <c r="V3" s="14">
        <v>0.29017999999999999</v>
      </c>
      <c r="W3" s="14">
        <v>1.68265</v>
      </c>
      <c r="X3" s="11">
        <v>157</v>
      </c>
      <c r="Y3" s="10">
        <v>43318</v>
      </c>
      <c r="Z3" s="11">
        <v>9845273024</v>
      </c>
      <c r="AA3" s="12" t="s">
        <v>47</v>
      </c>
      <c r="AB3" s="11" t="s">
        <v>40</v>
      </c>
      <c r="AC3" s="12" t="s">
        <v>41</v>
      </c>
      <c r="AD3" s="11" t="s">
        <v>42</v>
      </c>
      <c r="AE3" s="12" t="s">
        <v>43</v>
      </c>
      <c r="AF3" s="14">
        <v>1.9728300000000001E-2</v>
      </c>
      <c r="AG3" s="11" t="s">
        <v>44</v>
      </c>
    </row>
    <row r="4" spans="1:33" x14ac:dyDescent="0.2">
      <c r="A4" s="8">
        <v>4868</v>
      </c>
      <c r="B4" s="9" t="s">
        <v>33</v>
      </c>
      <c r="C4" s="10">
        <v>43326</v>
      </c>
      <c r="D4" s="11">
        <v>140</v>
      </c>
      <c r="E4" s="12" t="s">
        <v>34</v>
      </c>
      <c r="F4" s="12" t="s">
        <v>34</v>
      </c>
      <c r="G4" s="12" t="s">
        <v>34</v>
      </c>
      <c r="H4" s="12" t="s">
        <v>35</v>
      </c>
      <c r="I4" s="11" t="s">
        <v>48</v>
      </c>
      <c r="J4" s="12" t="s">
        <v>49</v>
      </c>
      <c r="K4" s="13" t="s">
        <v>50</v>
      </c>
      <c r="L4" s="11" t="str">
        <f>"000045"</f>
        <v>000045</v>
      </c>
      <c r="M4" s="10">
        <v>43076</v>
      </c>
      <c r="N4" s="11" t="str">
        <f>"000034"</f>
        <v>000034</v>
      </c>
      <c r="O4" s="10">
        <v>43076</v>
      </c>
      <c r="P4" s="11" t="str">
        <f>"000614"</f>
        <v>000614</v>
      </c>
      <c r="Q4" s="10">
        <v>42732</v>
      </c>
      <c r="R4" s="11">
        <v>16</v>
      </c>
      <c r="S4" s="11" t="str">
        <f>"004914"</f>
        <v>004914</v>
      </c>
      <c r="T4" s="10">
        <v>43318</v>
      </c>
      <c r="U4" s="14">
        <v>19.687560000000001</v>
      </c>
      <c r="V4" s="14">
        <v>2.6444399999999999</v>
      </c>
      <c r="W4" s="14">
        <v>17.043119999999998</v>
      </c>
      <c r="X4" s="11">
        <v>170</v>
      </c>
      <c r="Y4" s="10">
        <v>43326</v>
      </c>
      <c r="Z4" s="11">
        <v>9686237357</v>
      </c>
      <c r="AA4" s="12" t="s">
        <v>51</v>
      </c>
      <c r="AB4" s="11" t="s">
        <v>52</v>
      </c>
      <c r="AC4" s="12" t="s">
        <v>53</v>
      </c>
      <c r="AD4" s="11" t="s">
        <v>54</v>
      </c>
      <c r="AE4" s="12" t="s">
        <v>55</v>
      </c>
      <c r="AF4" s="14">
        <v>0.19687560000000001</v>
      </c>
      <c r="AG4" s="11" t="s">
        <v>44</v>
      </c>
    </row>
    <row r="5" spans="1:33" x14ac:dyDescent="0.2">
      <c r="A5" s="8">
        <v>5314</v>
      </c>
      <c r="B5" s="9" t="s">
        <v>56</v>
      </c>
      <c r="C5" s="10">
        <v>43346</v>
      </c>
      <c r="D5" s="11">
        <v>140</v>
      </c>
      <c r="E5" s="12" t="s">
        <v>34</v>
      </c>
      <c r="F5" s="12" t="s">
        <v>34</v>
      </c>
      <c r="G5" s="12" t="s">
        <v>34</v>
      </c>
      <c r="H5" s="12" t="s">
        <v>35</v>
      </c>
      <c r="I5" s="11" t="s">
        <v>57</v>
      </c>
      <c r="J5" s="12" t="s">
        <v>58</v>
      </c>
      <c r="K5" s="13" t="s">
        <v>59</v>
      </c>
      <c r="L5" s="11" t="str">
        <f>"000342"</f>
        <v>000342</v>
      </c>
      <c r="M5" s="10">
        <v>42752</v>
      </c>
      <c r="N5" s="11" t="str">
        <f>"000185"</f>
        <v>000185</v>
      </c>
      <c r="O5" s="10">
        <v>42825</v>
      </c>
      <c r="P5" s="11" t="str">
        <f>"000738"</f>
        <v>000738</v>
      </c>
      <c r="Q5" s="10">
        <v>42825</v>
      </c>
      <c r="R5" s="11">
        <v>17</v>
      </c>
      <c r="S5" s="11" t="str">
        <f>"005317"</f>
        <v>005317</v>
      </c>
      <c r="T5" s="10">
        <v>43333</v>
      </c>
      <c r="U5" s="14">
        <v>20.750789999999999</v>
      </c>
      <c r="V5" s="14">
        <v>2.7798799999999999</v>
      </c>
      <c r="W5" s="14">
        <v>17.97091</v>
      </c>
      <c r="X5" s="11">
        <v>193</v>
      </c>
      <c r="Y5" s="10">
        <v>43346</v>
      </c>
      <c r="Z5" s="11">
        <v>9448535286</v>
      </c>
      <c r="AA5" s="12" t="s">
        <v>60</v>
      </c>
      <c r="AB5" s="11" t="s">
        <v>61</v>
      </c>
      <c r="AC5" s="12" t="s">
        <v>62</v>
      </c>
      <c r="AD5" s="11" t="s">
        <v>54</v>
      </c>
      <c r="AE5" s="12" t="s">
        <v>55</v>
      </c>
      <c r="AF5" s="14">
        <f t="shared" ref="AF5:AF26" si="0">U5/100</f>
        <v>0.2075079</v>
      </c>
      <c r="AG5" s="11" t="s">
        <v>44</v>
      </c>
    </row>
    <row r="6" spans="1:33" x14ac:dyDescent="0.2">
      <c r="A6" s="8">
        <v>5390</v>
      </c>
      <c r="B6" s="9" t="s">
        <v>56</v>
      </c>
      <c r="C6" s="10">
        <v>43349</v>
      </c>
      <c r="D6" s="11">
        <v>140</v>
      </c>
      <c r="E6" s="12" t="s">
        <v>34</v>
      </c>
      <c r="F6" s="12" t="s">
        <v>34</v>
      </c>
      <c r="G6" s="12" t="s">
        <v>34</v>
      </c>
      <c r="H6" s="12" t="s">
        <v>35</v>
      </c>
      <c r="I6" s="11" t="s">
        <v>63</v>
      </c>
      <c r="J6" s="12" t="s">
        <v>64</v>
      </c>
      <c r="K6" s="13" t="s">
        <v>59</v>
      </c>
      <c r="L6" s="11" t="str">
        <f>"000157"</f>
        <v>000157</v>
      </c>
      <c r="M6" s="10">
        <v>43335</v>
      </c>
      <c r="N6" s="11" t="str">
        <f>"000079"</f>
        <v>000079</v>
      </c>
      <c r="O6" s="10">
        <v>43336</v>
      </c>
      <c r="P6" s="11" t="str">
        <f>"000154"</f>
        <v>000154</v>
      </c>
      <c r="Q6" s="10">
        <v>43340</v>
      </c>
      <c r="R6" s="11">
        <v>18</v>
      </c>
      <c r="S6" s="11" t="str">
        <f>"005615"</f>
        <v>005615</v>
      </c>
      <c r="T6" s="10">
        <v>43348</v>
      </c>
      <c r="U6" s="14">
        <v>4.9967899999999998</v>
      </c>
      <c r="V6" s="14">
        <v>0.48465999999999998</v>
      </c>
      <c r="W6" s="14">
        <v>4.51213</v>
      </c>
      <c r="X6" s="11">
        <v>194</v>
      </c>
      <c r="Y6" s="10">
        <v>43349</v>
      </c>
      <c r="Z6" s="11">
        <v>9845678994</v>
      </c>
      <c r="AA6" s="12" t="s">
        <v>65</v>
      </c>
      <c r="AB6" s="11" t="s">
        <v>66</v>
      </c>
      <c r="AC6" s="12" t="s">
        <v>67</v>
      </c>
      <c r="AD6" s="11" t="s">
        <v>54</v>
      </c>
      <c r="AE6" s="12" t="s">
        <v>55</v>
      </c>
      <c r="AF6" s="14">
        <f t="shared" si="0"/>
        <v>4.9967899999999996E-2</v>
      </c>
      <c r="AG6" s="11" t="s">
        <v>68</v>
      </c>
    </row>
    <row r="7" spans="1:33" x14ac:dyDescent="0.2">
      <c r="A7" s="8">
        <v>5391</v>
      </c>
      <c r="B7" s="9" t="s">
        <v>56</v>
      </c>
      <c r="C7" s="10">
        <v>43349</v>
      </c>
      <c r="D7" s="11">
        <v>140</v>
      </c>
      <c r="E7" s="12" t="s">
        <v>34</v>
      </c>
      <c r="F7" s="12" t="s">
        <v>34</v>
      </c>
      <c r="G7" s="12" t="s">
        <v>34</v>
      </c>
      <c r="H7" s="12" t="s">
        <v>35</v>
      </c>
      <c r="I7" s="11" t="s">
        <v>69</v>
      </c>
      <c r="J7" s="12" t="s">
        <v>70</v>
      </c>
      <c r="K7" s="13" t="s">
        <v>50</v>
      </c>
      <c r="L7" s="11" t="str">
        <f>"000152"</f>
        <v>000152</v>
      </c>
      <c r="M7" s="10">
        <v>43335</v>
      </c>
      <c r="N7" s="11" t="str">
        <f>"000077"</f>
        <v>000077</v>
      </c>
      <c r="O7" s="10">
        <v>43336</v>
      </c>
      <c r="P7" s="11" t="str">
        <f>"000155"</f>
        <v>000155</v>
      </c>
      <c r="Q7" s="10">
        <v>43340</v>
      </c>
      <c r="R7" s="11">
        <v>18</v>
      </c>
      <c r="S7" s="11" t="str">
        <f>"005616"</f>
        <v>005616</v>
      </c>
      <c r="T7" s="10">
        <v>43348</v>
      </c>
      <c r="U7" s="14">
        <v>4.9983000000000004</v>
      </c>
      <c r="V7" s="14">
        <v>0.48480000000000001</v>
      </c>
      <c r="W7" s="14">
        <v>4.5134999999999996</v>
      </c>
      <c r="X7" s="11">
        <v>194</v>
      </c>
      <c r="Y7" s="10">
        <v>43349</v>
      </c>
      <c r="Z7" s="11">
        <v>9845678994</v>
      </c>
      <c r="AA7" s="12" t="s">
        <v>65</v>
      </c>
      <c r="AB7" s="11" t="s">
        <v>71</v>
      </c>
      <c r="AC7" s="12" t="s">
        <v>72</v>
      </c>
      <c r="AD7" s="11" t="s">
        <v>54</v>
      </c>
      <c r="AE7" s="12" t="s">
        <v>55</v>
      </c>
      <c r="AF7" s="14">
        <f t="shared" si="0"/>
        <v>4.9983000000000007E-2</v>
      </c>
      <c r="AG7" s="11" t="s">
        <v>68</v>
      </c>
    </row>
    <row r="8" spans="1:33" x14ac:dyDescent="0.2">
      <c r="A8" s="8">
        <v>5392</v>
      </c>
      <c r="B8" s="9" t="s">
        <v>56</v>
      </c>
      <c r="C8" s="10">
        <v>43349</v>
      </c>
      <c r="D8" s="11">
        <v>140</v>
      </c>
      <c r="E8" s="12" t="s">
        <v>34</v>
      </c>
      <c r="F8" s="12" t="s">
        <v>34</v>
      </c>
      <c r="G8" s="12" t="s">
        <v>34</v>
      </c>
      <c r="H8" s="12" t="s">
        <v>35</v>
      </c>
      <c r="I8" s="11" t="s">
        <v>73</v>
      </c>
      <c r="J8" s="12" t="s">
        <v>74</v>
      </c>
      <c r="K8" s="13" t="s">
        <v>75</v>
      </c>
      <c r="L8" s="11" t="str">
        <f>"000150"</f>
        <v>000150</v>
      </c>
      <c r="M8" s="10">
        <v>43335</v>
      </c>
      <c r="N8" s="11" t="str">
        <f>"000075"</f>
        <v>000075</v>
      </c>
      <c r="O8" s="10">
        <v>43336</v>
      </c>
      <c r="P8" s="11" t="str">
        <f>"000156"</f>
        <v>000156</v>
      </c>
      <c r="Q8" s="10">
        <v>43340</v>
      </c>
      <c r="R8" s="11">
        <v>18</v>
      </c>
      <c r="S8" s="11" t="str">
        <f>"005617"</f>
        <v>005617</v>
      </c>
      <c r="T8" s="10">
        <v>43348</v>
      </c>
      <c r="U8" s="14">
        <v>19.99887</v>
      </c>
      <c r="V8" s="14">
        <v>1.9398599999999999</v>
      </c>
      <c r="W8" s="14">
        <v>18.059010000000001</v>
      </c>
      <c r="X8" s="11">
        <v>194</v>
      </c>
      <c r="Y8" s="10">
        <v>43349</v>
      </c>
      <c r="Z8" s="11">
        <v>9845678994</v>
      </c>
      <c r="AA8" s="12" t="s">
        <v>65</v>
      </c>
      <c r="AB8" s="11" t="s">
        <v>76</v>
      </c>
      <c r="AC8" s="12" t="s">
        <v>77</v>
      </c>
      <c r="AD8" s="11" t="s">
        <v>54</v>
      </c>
      <c r="AE8" s="12" t="s">
        <v>55</v>
      </c>
      <c r="AF8" s="14">
        <f t="shared" si="0"/>
        <v>0.19998869999999999</v>
      </c>
      <c r="AG8" s="11" t="s">
        <v>68</v>
      </c>
    </row>
    <row r="9" spans="1:33" x14ac:dyDescent="0.2">
      <c r="A9" s="8">
        <v>5393</v>
      </c>
      <c r="B9" s="9" t="s">
        <v>56</v>
      </c>
      <c r="C9" s="10">
        <v>43349</v>
      </c>
      <c r="D9" s="11">
        <v>140</v>
      </c>
      <c r="E9" s="12" t="s">
        <v>34</v>
      </c>
      <c r="F9" s="12" t="s">
        <v>34</v>
      </c>
      <c r="G9" s="12" t="s">
        <v>34</v>
      </c>
      <c r="H9" s="12" t="s">
        <v>35</v>
      </c>
      <c r="I9" s="11" t="s">
        <v>78</v>
      </c>
      <c r="J9" s="12" t="s">
        <v>79</v>
      </c>
      <c r="K9" s="13" t="s">
        <v>50</v>
      </c>
      <c r="L9" s="11" t="str">
        <f>"000154"</f>
        <v>000154</v>
      </c>
      <c r="M9" s="10">
        <v>43335</v>
      </c>
      <c r="N9" s="11" t="str">
        <f>"000074"</f>
        <v>000074</v>
      </c>
      <c r="O9" s="10">
        <v>43336</v>
      </c>
      <c r="P9" s="11" t="str">
        <f>"000157"</f>
        <v>000157</v>
      </c>
      <c r="Q9" s="10">
        <v>43340</v>
      </c>
      <c r="R9" s="11">
        <v>18</v>
      </c>
      <c r="S9" s="11" t="str">
        <f>"005618"</f>
        <v>005618</v>
      </c>
      <c r="T9" s="10">
        <v>43348</v>
      </c>
      <c r="U9" s="14">
        <v>14.99858</v>
      </c>
      <c r="V9" s="14">
        <v>1.46984</v>
      </c>
      <c r="W9" s="14">
        <v>13.528740000000001</v>
      </c>
      <c r="X9" s="11">
        <v>194</v>
      </c>
      <c r="Y9" s="10">
        <v>43349</v>
      </c>
      <c r="Z9" s="11">
        <v>9845678994</v>
      </c>
      <c r="AA9" s="12" t="s">
        <v>80</v>
      </c>
      <c r="AB9" s="11" t="s">
        <v>81</v>
      </c>
      <c r="AC9" s="12" t="s">
        <v>82</v>
      </c>
      <c r="AD9" s="11" t="s">
        <v>54</v>
      </c>
      <c r="AE9" s="12" t="s">
        <v>55</v>
      </c>
      <c r="AF9" s="14">
        <f t="shared" si="0"/>
        <v>0.1499858</v>
      </c>
      <c r="AG9" s="11" t="s">
        <v>68</v>
      </c>
    </row>
    <row r="10" spans="1:33" x14ac:dyDescent="0.2">
      <c r="A10" s="8">
        <v>5394</v>
      </c>
      <c r="B10" s="9" t="s">
        <v>56</v>
      </c>
      <c r="C10" s="10">
        <v>43349</v>
      </c>
      <c r="D10" s="11">
        <v>140</v>
      </c>
      <c r="E10" s="12" t="s">
        <v>34</v>
      </c>
      <c r="F10" s="12" t="s">
        <v>34</v>
      </c>
      <c r="G10" s="12" t="s">
        <v>34</v>
      </c>
      <c r="H10" s="12" t="s">
        <v>35</v>
      </c>
      <c r="I10" s="11" t="s">
        <v>83</v>
      </c>
      <c r="J10" s="12" t="s">
        <v>84</v>
      </c>
      <c r="K10" s="13" t="s">
        <v>38</v>
      </c>
      <c r="L10" s="11" t="str">
        <f>"000156"</f>
        <v>000156</v>
      </c>
      <c r="M10" s="10">
        <v>43335</v>
      </c>
      <c r="N10" s="11" t="str">
        <f>"000078"</f>
        <v>000078</v>
      </c>
      <c r="O10" s="10">
        <v>43336</v>
      </c>
      <c r="P10" s="11" t="str">
        <f>"000158"</f>
        <v>000158</v>
      </c>
      <c r="Q10" s="10">
        <v>43340</v>
      </c>
      <c r="R10" s="11">
        <v>18</v>
      </c>
      <c r="S10" s="11" t="str">
        <f>"005619"</f>
        <v>005619</v>
      </c>
      <c r="T10" s="10">
        <v>43348</v>
      </c>
      <c r="U10" s="14">
        <v>14.9985</v>
      </c>
      <c r="V10" s="14">
        <v>1.60483</v>
      </c>
      <c r="W10" s="14">
        <v>13.39367</v>
      </c>
      <c r="X10" s="11">
        <v>194</v>
      </c>
      <c r="Y10" s="10">
        <v>43349</v>
      </c>
      <c r="Z10" s="11">
        <v>9845678994</v>
      </c>
      <c r="AA10" s="12" t="s">
        <v>65</v>
      </c>
      <c r="AB10" s="11" t="s">
        <v>85</v>
      </c>
      <c r="AC10" s="12" t="s">
        <v>86</v>
      </c>
      <c r="AD10" s="11" t="s">
        <v>54</v>
      </c>
      <c r="AE10" s="12" t="s">
        <v>55</v>
      </c>
      <c r="AF10" s="14">
        <f t="shared" si="0"/>
        <v>0.14998500000000001</v>
      </c>
      <c r="AG10" s="11" t="s">
        <v>68</v>
      </c>
    </row>
    <row r="11" spans="1:33" x14ac:dyDescent="0.2">
      <c r="A11" s="8">
        <v>5395</v>
      </c>
      <c r="B11" s="9" t="s">
        <v>56</v>
      </c>
      <c r="C11" s="10">
        <v>43349</v>
      </c>
      <c r="D11" s="11">
        <v>140</v>
      </c>
      <c r="E11" s="12" t="s">
        <v>34</v>
      </c>
      <c r="F11" s="12" t="s">
        <v>34</v>
      </c>
      <c r="G11" s="12" t="s">
        <v>34</v>
      </c>
      <c r="H11" s="12" t="s">
        <v>35</v>
      </c>
      <c r="I11" s="11" t="s">
        <v>87</v>
      </c>
      <c r="J11" s="12" t="s">
        <v>88</v>
      </c>
      <c r="K11" s="13" t="s">
        <v>89</v>
      </c>
      <c r="L11" s="11" t="str">
        <f>"000151"</f>
        <v>000151</v>
      </c>
      <c r="M11" s="10">
        <v>43335</v>
      </c>
      <c r="N11" s="11" t="str">
        <f>"000076"</f>
        <v>000076</v>
      </c>
      <c r="O11" s="10">
        <v>43336</v>
      </c>
      <c r="P11" s="11" t="str">
        <f>"000159"</f>
        <v>000159</v>
      </c>
      <c r="Q11" s="10">
        <v>43340</v>
      </c>
      <c r="R11" s="11">
        <v>18</v>
      </c>
      <c r="S11" s="11" t="str">
        <f>"005620"</f>
        <v>005620</v>
      </c>
      <c r="T11" s="10">
        <v>43348</v>
      </c>
      <c r="U11" s="14">
        <v>14.99858</v>
      </c>
      <c r="V11" s="14">
        <v>1.4548399999999999</v>
      </c>
      <c r="W11" s="14">
        <v>13.54374</v>
      </c>
      <c r="X11" s="11">
        <v>194</v>
      </c>
      <c r="Y11" s="10">
        <v>43349</v>
      </c>
      <c r="Z11" s="11">
        <v>9845678994</v>
      </c>
      <c r="AA11" s="12" t="s">
        <v>80</v>
      </c>
      <c r="AB11" s="11" t="s">
        <v>90</v>
      </c>
      <c r="AC11" s="12" t="s">
        <v>91</v>
      </c>
      <c r="AD11" s="11" t="s">
        <v>54</v>
      </c>
      <c r="AE11" s="12" t="s">
        <v>55</v>
      </c>
      <c r="AF11" s="14">
        <f t="shared" si="0"/>
        <v>0.1499858</v>
      </c>
      <c r="AG11" s="11" t="s">
        <v>68</v>
      </c>
    </row>
    <row r="12" spans="1:33" x14ac:dyDescent="0.2">
      <c r="A12" s="8">
        <v>5396</v>
      </c>
      <c r="B12" s="9" t="s">
        <v>56</v>
      </c>
      <c r="C12" s="10">
        <v>43349</v>
      </c>
      <c r="D12" s="11">
        <v>140</v>
      </c>
      <c r="E12" s="12" t="s">
        <v>34</v>
      </c>
      <c r="F12" s="12" t="s">
        <v>34</v>
      </c>
      <c r="G12" s="12" t="s">
        <v>34</v>
      </c>
      <c r="H12" s="12" t="s">
        <v>35</v>
      </c>
      <c r="I12" s="11" t="s">
        <v>92</v>
      </c>
      <c r="J12" s="12" t="s">
        <v>93</v>
      </c>
      <c r="K12" s="13" t="s">
        <v>94</v>
      </c>
      <c r="L12" s="11" t="str">
        <f>"000155"</f>
        <v>000155</v>
      </c>
      <c r="M12" s="10">
        <v>43335</v>
      </c>
      <c r="N12" s="11" t="str">
        <f>"000073"</f>
        <v>000073</v>
      </c>
      <c r="O12" s="10">
        <v>43336</v>
      </c>
      <c r="P12" s="11" t="str">
        <f>"000160"</f>
        <v>000160</v>
      </c>
      <c r="Q12" s="10">
        <v>43340</v>
      </c>
      <c r="R12" s="11">
        <v>18</v>
      </c>
      <c r="S12" s="11" t="str">
        <f>"005621"</f>
        <v>005621</v>
      </c>
      <c r="T12" s="10">
        <v>43348</v>
      </c>
      <c r="U12" s="14">
        <v>9.9992300000000007</v>
      </c>
      <c r="V12" s="14">
        <v>0.96989999999999998</v>
      </c>
      <c r="W12" s="14">
        <v>9.0293299999999999</v>
      </c>
      <c r="X12" s="11">
        <v>194</v>
      </c>
      <c r="Y12" s="10">
        <v>43349</v>
      </c>
      <c r="Z12" s="11">
        <v>9845678994</v>
      </c>
      <c r="AA12" s="12" t="s">
        <v>65</v>
      </c>
      <c r="AB12" s="11" t="s">
        <v>95</v>
      </c>
      <c r="AC12" s="12" t="s">
        <v>96</v>
      </c>
      <c r="AD12" s="11" t="s">
        <v>54</v>
      </c>
      <c r="AE12" s="12" t="s">
        <v>55</v>
      </c>
      <c r="AF12" s="14">
        <f t="shared" si="0"/>
        <v>9.9992300000000006E-2</v>
      </c>
      <c r="AG12" s="11" t="s">
        <v>68</v>
      </c>
    </row>
    <row r="13" spans="1:33" x14ac:dyDescent="0.2">
      <c r="A13" s="8">
        <v>5397</v>
      </c>
      <c r="B13" s="9" t="s">
        <v>56</v>
      </c>
      <c r="C13" s="10">
        <v>43349</v>
      </c>
      <c r="D13" s="11">
        <v>140</v>
      </c>
      <c r="E13" s="12" t="s">
        <v>34</v>
      </c>
      <c r="F13" s="12" t="s">
        <v>34</v>
      </c>
      <c r="G13" s="12" t="s">
        <v>34</v>
      </c>
      <c r="H13" s="12" t="s">
        <v>35</v>
      </c>
      <c r="I13" s="11" t="s">
        <v>97</v>
      </c>
      <c r="J13" s="12" t="s">
        <v>98</v>
      </c>
      <c r="K13" s="13" t="s">
        <v>99</v>
      </c>
      <c r="L13" s="11" t="str">
        <f>"000153"</f>
        <v>000153</v>
      </c>
      <c r="M13" s="10">
        <v>43335</v>
      </c>
      <c r="N13" s="11" t="str">
        <f>"000072"</f>
        <v>000072</v>
      </c>
      <c r="O13" s="10">
        <v>43336</v>
      </c>
      <c r="P13" s="11" t="str">
        <f>"000161"</f>
        <v>000161</v>
      </c>
      <c r="Q13" s="10">
        <v>43340</v>
      </c>
      <c r="R13" s="11">
        <v>18</v>
      </c>
      <c r="S13" s="11" t="str">
        <f>"005622"</f>
        <v>005622</v>
      </c>
      <c r="T13" s="10">
        <v>43348</v>
      </c>
      <c r="U13" s="14">
        <v>4.9991700000000003</v>
      </c>
      <c r="V13" s="14">
        <v>0.43490000000000001</v>
      </c>
      <c r="W13" s="14">
        <v>4.5642699999999996</v>
      </c>
      <c r="X13" s="11">
        <v>194</v>
      </c>
      <c r="Y13" s="10">
        <v>43349</v>
      </c>
      <c r="Z13" s="11">
        <v>9845678994</v>
      </c>
      <c r="AA13" s="12" t="s">
        <v>80</v>
      </c>
      <c r="AB13" s="11" t="s">
        <v>100</v>
      </c>
      <c r="AC13" s="12" t="s">
        <v>101</v>
      </c>
      <c r="AD13" s="11" t="s">
        <v>54</v>
      </c>
      <c r="AE13" s="12" t="s">
        <v>55</v>
      </c>
      <c r="AF13" s="14">
        <f t="shared" si="0"/>
        <v>4.99917E-2</v>
      </c>
      <c r="AG13" s="11" t="s">
        <v>68</v>
      </c>
    </row>
    <row r="14" spans="1:33" x14ac:dyDescent="0.2">
      <c r="A14" s="8">
        <v>6213</v>
      </c>
      <c r="B14" s="9" t="s">
        <v>102</v>
      </c>
      <c r="C14" s="10">
        <v>43385</v>
      </c>
      <c r="D14" s="11">
        <v>140</v>
      </c>
      <c r="E14" s="12" t="s">
        <v>34</v>
      </c>
      <c r="F14" s="12" t="s">
        <v>34</v>
      </c>
      <c r="G14" s="12" t="s">
        <v>34</v>
      </c>
      <c r="H14" s="12" t="s">
        <v>35</v>
      </c>
      <c r="I14" s="11" t="s">
        <v>103</v>
      </c>
      <c r="J14" s="12" t="s">
        <v>104</v>
      </c>
      <c r="K14" s="13" t="s">
        <v>105</v>
      </c>
      <c r="L14" s="11" t="str">
        <f>"000341"</f>
        <v>000341</v>
      </c>
      <c r="M14" s="10">
        <v>42752</v>
      </c>
      <c r="N14" s="11" t="str">
        <f>"000183"</f>
        <v>000183</v>
      </c>
      <c r="O14" s="10">
        <v>42825</v>
      </c>
      <c r="P14" s="11" t="str">
        <f>"000737"</f>
        <v>000737</v>
      </c>
      <c r="Q14" s="10">
        <v>42825</v>
      </c>
      <c r="R14" s="11">
        <v>17</v>
      </c>
      <c r="S14" s="11" t="str">
        <f>"006089"</f>
        <v>006089</v>
      </c>
      <c r="T14" s="10">
        <v>43374</v>
      </c>
      <c r="U14" s="14">
        <v>20.852550000000001</v>
      </c>
      <c r="V14" s="14">
        <v>2.7942200000000001</v>
      </c>
      <c r="W14" s="14">
        <v>18.058330000000002</v>
      </c>
      <c r="X14" s="11">
        <v>231</v>
      </c>
      <c r="Y14" s="10">
        <v>43385</v>
      </c>
      <c r="Z14" s="11">
        <v>9448535286</v>
      </c>
      <c r="AA14" s="12" t="s">
        <v>60</v>
      </c>
      <c r="AB14" s="11" t="s">
        <v>61</v>
      </c>
      <c r="AC14" s="12" t="s">
        <v>62</v>
      </c>
      <c r="AD14" s="11" t="s">
        <v>54</v>
      </c>
      <c r="AE14" s="12" t="s">
        <v>55</v>
      </c>
      <c r="AF14" s="14">
        <f t="shared" si="0"/>
        <v>0.2085255</v>
      </c>
      <c r="AG14" s="11" t="s">
        <v>44</v>
      </c>
    </row>
    <row r="15" spans="1:33" x14ac:dyDescent="0.2">
      <c r="A15" s="8">
        <v>7022</v>
      </c>
      <c r="B15" s="9" t="s">
        <v>102</v>
      </c>
      <c r="C15" s="10">
        <v>43403</v>
      </c>
      <c r="D15" s="11">
        <v>140</v>
      </c>
      <c r="E15" s="12" t="s">
        <v>34</v>
      </c>
      <c r="F15" s="12" t="s">
        <v>34</v>
      </c>
      <c r="G15" s="12" t="s">
        <v>34</v>
      </c>
      <c r="H15" s="12" t="s">
        <v>35</v>
      </c>
      <c r="I15" s="11" t="s">
        <v>106</v>
      </c>
      <c r="J15" s="12" t="s">
        <v>107</v>
      </c>
      <c r="K15" s="13" t="s">
        <v>89</v>
      </c>
      <c r="L15" s="11" t="str">
        <f>"000346"</f>
        <v>000346</v>
      </c>
      <c r="M15" s="10">
        <v>42875</v>
      </c>
      <c r="N15" s="11" t="str">
        <f>"000184"</f>
        <v>000184</v>
      </c>
      <c r="O15" s="10">
        <v>42825</v>
      </c>
      <c r="P15" s="11" t="str">
        <f>"000736"</f>
        <v>000736</v>
      </c>
      <c r="Q15" s="10">
        <v>42825</v>
      </c>
      <c r="R15" s="11">
        <v>17</v>
      </c>
      <c r="S15" s="11" t="str">
        <f>"006925"</f>
        <v>006925</v>
      </c>
      <c r="T15" s="10">
        <v>43398</v>
      </c>
      <c r="U15" s="14">
        <v>10.35033</v>
      </c>
      <c r="V15" s="14">
        <v>1.34175</v>
      </c>
      <c r="W15" s="14">
        <v>9.0085800000000003</v>
      </c>
      <c r="X15" s="11">
        <v>254</v>
      </c>
      <c r="Y15" s="10">
        <v>43403</v>
      </c>
      <c r="Z15" s="11">
        <v>9448535286</v>
      </c>
      <c r="AA15" s="12" t="s">
        <v>108</v>
      </c>
      <c r="AB15" s="11" t="s">
        <v>61</v>
      </c>
      <c r="AC15" s="12" t="s">
        <v>62</v>
      </c>
      <c r="AD15" s="11" t="s">
        <v>54</v>
      </c>
      <c r="AE15" s="12" t="s">
        <v>55</v>
      </c>
      <c r="AF15" s="14">
        <f t="shared" si="0"/>
        <v>0.10350329999999999</v>
      </c>
      <c r="AG15" s="11" t="s">
        <v>44</v>
      </c>
    </row>
    <row r="16" spans="1:33" x14ac:dyDescent="0.2">
      <c r="A16" s="8">
        <v>7788</v>
      </c>
      <c r="B16" s="9" t="s">
        <v>109</v>
      </c>
      <c r="C16" s="10">
        <v>43448</v>
      </c>
      <c r="D16" s="11">
        <v>140</v>
      </c>
      <c r="E16" s="12" t="s">
        <v>34</v>
      </c>
      <c r="F16" s="12" t="s">
        <v>34</v>
      </c>
      <c r="G16" s="12" t="s">
        <v>34</v>
      </c>
      <c r="H16" s="12" t="s">
        <v>35</v>
      </c>
      <c r="I16" s="11" t="s">
        <v>110</v>
      </c>
      <c r="J16" s="12" t="s">
        <v>111</v>
      </c>
      <c r="K16" s="13" t="s">
        <v>105</v>
      </c>
      <c r="L16" s="11" t="str">
        <f>"000328"</f>
        <v>000328</v>
      </c>
      <c r="M16" s="10">
        <v>41954</v>
      </c>
      <c r="N16" s="11" t="str">
        <f>"000379"</f>
        <v>000379</v>
      </c>
      <c r="O16" s="10">
        <v>42219</v>
      </c>
      <c r="P16" s="11" t="str">
        <f>"000182"</f>
        <v>000182</v>
      </c>
      <c r="Q16" s="10">
        <v>42521</v>
      </c>
      <c r="R16" s="11">
        <v>14</v>
      </c>
      <c r="S16" s="11" t="str">
        <f>"008009"</f>
        <v>008009</v>
      </c>
      <c r="T16" s="10">
        <v>43448</v>
      </c>
      <c r="U16" s="14">
        <v>9.9399499999999996</v>
      </c>
      <c r="V16" s="14">
        <v>1.23681</v>
      </c>
      <c r="W16" s="14">
        <v>8.7031399999999994</v>
      </c>
      <c r="X16" s="11">
        <v>291</v>
      </c>
      <c r="Y16" s="10">
        <v>43448</v>
      </c>
      <c r="Z16" s="11">
        <v>9886296777</v>
      </c>
      <c r="AA16" s="12" t="s">
        <v>112</v>
      </c>
      <c r="AB16" s="11" t="s">
        <v>52</v>
      </c>
      <c r="AC16" s="12" t="s">
        <v>53</v>
      </c>
      <c r="AD16" s="11" t="s">
        <v>54</v>
      </c>
      <c r="AE16" s="12" t="s">
        <v>55</v>
      </c>
      <c r="AF16" s="14">
        <f t="shared" si="0"/>
        <v>9.9399500000000002E-2</v>
      </c>
      <c r="AG16" s="11" t="s">
        <v>44</v>
      </c>
    </row>
    <row r="17" spans="1:33" x14ac:dyDescent="0.2">
      <c r="A17" s="8">
        <v>8263</v>
      </c>
      <c r="B17" s="9" t="s">
        <v>113</v>
      </c>
      <c r="C17" s="10">
        <v>43466</v>
      </c>
      <c r="D17" s="11">
        <v>140</v>
      </c>
      <c r="E17" s="12" t="s">
        <v>34</v>
      </c>
      <c r="F17" s="12" t="s">
        <v>34</v>
      </c>
      <c r="G17" s="12" t="s">
        <v>34</v>
      </c>
      <c r="H17" s="12" t="s">
        <v>35</v>
      </c>
      <c r="I17" s="11" t="s">
        <v>114</v>
      </c>
      <c r="J17" s="12" t="s">
        <v>115</v>
      </c>
      <c r="K17" s="13" t="s">
        <v>38</v>
      </c>
      <c r="L17" s="11" t="str">
        <f>"000097"</f>
        <v>000097</v>
      </c>
      <c r="M17" s="10">
        <v>43116</v>
      </c>
      <c r="N17" s="11" t="str">
        <f>"000038"</f>
        <v>000038</v>
      </c>
      <c r="O17" s="10">
        <v>43116</v>
      </c>
      <c r="P17" s="11" t="str">
        <f>"000088"</f>
        <v>000088</v>
      </c>
      <c r="Q17" s="10">
        <v>43116</v>
      </c>
      <c r="R17" s="11"/>
      <c r="S17" s="11" t="str">
        <f>"009409"</f>
        <v>009409</v>
      </c>
      <c r="T17" s="10">
        <v>43132</v>
      </c>
      <c r="U17" s="14">
        <v>4.7024999999999997</v>
      </c>
      <c r="V17" s="14">
        <v>0.47025</v>
      </c>
      <c r="W17" s="14">
        <v>4.2322499999999996</v>
      </c>
      <c r="X17" s="11">
        <v>309</v>
      </c>
      <c r="Y17" s="10">
        <v>43466</v>
      </c>
      <c r="Z17" s="11">
        <v>9886998316</v>
      </c>
      <c r="AA17" s="12" t="s">
        <v>116</v>
      </c>
      <c r="AB17" s="11" t="s">
        <v>117</v>
      </c>
      <c r="AC17" s="12" t="s">
        <v>118</v>
      </c>
      <c r="AD17" s="11" t="s">
        <v>54</v>
      </c>
      <c r="AE17" s="12" t="s">
        <v>55</v>
      </c>
      <c r="AF17" s="14">
        <f t="shared" si="0"/>
        <v>4.7024999999999997E-2</v>
      </c>
      <c r="AG17" s="11" t="s">
        <v>44</v>
      </c>
    </row>
    <row r="18" spans="1:33" x14ac:dyDescent="0.2">
      <c r="A18" s="8">
        <v>8379</v>
      </c>
      <c r="B18" s="9" t="s">
        <v>113</v>
      </c>
      <c r="C18" s="10">
        <v>43469</v>
      </c>
      <c r="D18" s="11">
        <v>140</v>
      </c>
      <c r="E18" s="12" t="s">
        <v>34</v>
      </c>
      <c r="F18" s="12" t="s">
        <v>34</v>
      </c>
      <c r="G18" s="12" t="s">
        <v>34</v>
      </c>
      <c r="H18" s="12" t="s">
        <v>35</v>
      </c>
      <c r="I18" s="11" t="s">
        <v>119</v>
      </c>
      <c r="J18" s="12" t="s">
        <v>120</v>
      </c>
      <c r="K18" s="13" t="s">
        <v>50</v>
      </c>
      <c r="L18" s="11" t="str">
        <f>"000324"</f>
        <v>000324</v>
      </c>
      <c r="M18" s="10">
        <v>43416</v>
      </c>
      <c r="N18" s="11" t="str">
        <f>"000108"</f>
        <v>000108</v>
      </c>
      <c r="O18" s="10">
        <v>43417</v>
      </c>
      <c r="P18" s="11" t="str">
        <f>"000227"</f>
        <v>000227</v>
      </c>
      <c r="Q18" s="10">
        <v>43419</v>
      </c>
      <c r="R18" s="11"/>
      <c r="S18" s="11" t="str">
        <f>"008473"</f>
        <v>008473</v>
      </c>
      <c r="T18" s="10">
        <v>43467</v>
      </c>
      <c r="U18" s="14">
        <v>499.62178999999998</v>
      </c>
      <c r="V18" s="14">
        <v>25.480720000000002</v>
      </c>
      <c r="W18" s="14">
        <v>474.14107000000001</v>
      </c>
      <c r="X18" s="11">
        <v>314</v>
      </c>
      <c r="Y18" s="10">
        <v>43469</v>
      </c>
      <c r="Z18" s="11">
        <v>9886296777</v>
      </c>
      <c r="AA18" s="12" t="s">
        <v>121</v>
      </c>
      <c r="AB18" s="11" t="s">
        <v>117</v>
      </c>
      <c r="AC18" s="12" t="s">
        <v>118</v>
      </c>
      <c r="AD18" s="11" t="s">
        <v>54</v>
      </c>
      <c r="AE18" s="12" t="s">
        <v>55</v>
      </c>
      <c r="AF18" s="14">
        <f t="shared" si="0"/>
        <v>4.9962178999999995</v>
      </c>
      <c r="AG18" s="11" t="s">
        <v>68</v>
      </c>
    </row>
    <row r="19" spans="1:33" x14ac:dyDescent="0.2">
      <c r="A19" s="8">
        <v>8562</v>
      </c>
      <c r="B19" s="9" t="s">
        <v>113</v>
      </c>
      <c r="C19" s="10">
        <v>43475</v>
      </c>
      <c r="D19" s="11">
        <v>140</v>
      </c>
      <c r="E19" s="12" t="s">
        <v>34</v>
      </c>
      <c r="F19" s="12" t="s">
        <v>34</v>
      </c>
      <c r="G19" s="12" t="s">
        <v>34</v>
      </c>
      <c r="H19" s="12" t="s">
        <v>35</v>
      </c>
      <c r="I19" s="11" t="s">
        <v>122</v>
      </c>
      <c r="J19" s="12" t="s">
        <v>123</v>
      </c>
      <c r="K19" s="13" t="s">
        <v>38</v>
      </c>
      <c r="L19" s="11" t="str">
        <f>"000214"</f>
        <v>000214</v>
      </c>
      <c r="M19" s="10">
        <v>42812</v>
      </c>
      <c r="N19" s="11" t="str">
        <f>"000089"</f>
        <v>000089</v>
      </c>
      <c r="O19" s="10">
        <v>42906</v>
      </c>
      <c r="P19" s="11" t="str">
        <f>"000195"</f>
        <v>000195</v>
      </c>
      <c r="Q19" s="10">
        <v>42906</v>
      </c>
      <c r="R19" s="11"/>
      <c r="S19" s="11" t="str">
        <f>"008221"</f>
        <v>008221</v>
      </c>
      <c r="T19" s="10">
        <v>43455</v>
      </c>
      <c r="U19" s="14">
        <v>9.9126899999999996</v>
      </c>
      <c r="V19" s="14">
        <v>1.2291399999999999</v>
      </c>
      <c r="W19" s="14">
        <v>8.6835500000000003</v>
      </c>
      <c r="X19" s="11">
        <v>321</v>
      </c>
      <c r="Y19" s="10">
        <v>43475</v>
      </c>
      <c r="Z19" s="11">
        <v>8892232652</v>
      </c>
      <c r="AA19" s="12" t="s">
        <v>124</v>
      </c>
      <c r="AB19" s="11" t="s">
        <v>52</v>
      </c>
      <c r="AC19" s="12" t="s">
        <v>53</v>
      </c>
      <c r="AD19" s="11" t="s">
        <v>54</v>
      </c>
      <c r="AE19" s="12" t="s">
        <v>55</v>
      </c>
      <c r="AF19" s="14">
        <f t="shared" si="0"/>
        <v>9.912689999999999E-2</v>
      </c>
      <c r="AG19" s="11" t="s">
        <v>44</v>
      </c>
    </row>
    <row r="20" spans="1:33" x14ac:dyDescent="0.2">
      <c r="A20" s="8">
        <v>8716</v>
      </c>
      <c r="B20" s="9" t="s">
        <v>113</v>
      </c>
      <c r="C20" s="10">
        <v>43486</v>
      </c>
      <c r="D20" s="11">
        <v>140</v>
      </c>
      <c r="E20" s="12" t="s">
        <v>34</v>
      </c>
      <c r="F20" s="12" t="s">
        <v>34</v>
      </c>
      <c r="G20" s="12" t="s">
        <v>34</v>
      </c>
      <c r="H20" s="12" t="s">
        <v>35</v>
      </c>
      <c r="I20" s="11" t="s">
        <v>125</v>
      </c>
      <c r="J20" s="12" t="s">
        <v>126</v>
      </c>
      <c r="K20" s="13" t="s">
        <v>99</v>
      </c>
      <c r="L20" s="11" t="str">
        <f>"000380"</f>
        <v>000380</v>
      </c>
      <c r="M20" s="10">
        <v>43449</v>
      </c>
      <c r="N20" s="11" t="str">
        <f>"000123"</f>
        <v>000123</v>
      </c>
      <c r="O20" s="10">
        <v>43450</v>
      </c>
      <c r="P20" s="11" t="str">
        <f>"000259"</f>
        <v>000259</v>
      </c>
      <c r="Q20" s="10">
        <v>43451</v>
      </c>
      <c r="R20" s="11"/>
      <c r="S20" s="11" t="str">
        <f>"008909"</f>
        <v>008909</v>
      </c>
      <c r="T20" s="10">
        <v>43484</v>
      </c>
      <c r="U20" s="14">
        <v>1.5671600000000001</v>
      </c>
      <c r="V20" s="14">
        <v>0.15779000000000001</v>
      </c>
      <c r="W20" s="14">
        <v>1.40937</v>
      </c>
      <c r="X20" s="11">
        <v>330</v>
      </c>
      <c r="Y20" s="10">
        <v>43486</v>
      </c>
      <c r="Z20" s="11">
        <v>9980946075</v>
      </c>
      <c r="AA20" s="12" t="s">
        <v>127</v>
      </c>
      <c r="AB20" s="11" t="s">
        <v>128</v>
      </c>
      <c r="AC20" s="12" t="s">
        <v>129</v>
      </c>
      <c r="AD20" s="11" t="s">
        <v>54</v>
      </c>
      <c r="AE20" s="12" t="s">
        <v>55</v>
      </c>
      <c r="AF20" s="14">
        <f t="shared" si="0"/>
        <v>1.5671600000000001E-2</v>
      </c>
      <c r="AG20" s="11" t="s">
        <v>68</v>
      </c>
    </row>
    <row r="21" spans="1:33" x14ac:dyDescent="0.2">
      <c r="A21" s="8">
        <v>8804</v>
      </c>
      <c r="B21" s="9" t="s">
        <v>113</v>
      </c>
      <c r="C21" s="10">
        <v>43490</v>
      </c>
      <c r="D21" s="11">
        <v>140</v>
      </c>
      <c r="E21" s="12" t="s">
        <v>34</v>
      </c>
      <c r="F21" s="12" t="s">
        <v>34</v>
      </c>
      <c r="G21" s="12" t="s">
        <v>34</v>
      </c>
      <c r="H21" s="12" t="s">
        <v>35</v>
      </c>
      <c r="I21" s="11" t="s">
        <v>130</v>
      </c>
      <c r="J21" s="12" t="s">
        <v>131</v>
      </c>
      <c r="K21" s="13" t="s">
        <v>38</v>
      </c>
      <c r="L21" s="11" t="str">
        <f>"000379"</f>
        <v>000379</v>
      </c>
      <c r="M21" s="10">
        <v>43449</v>
      </c>
      <c r="N21" s="11" t="str">
        <f>"000125"</f>
        <v>000125</v>
      </c>
      <c r="O21" s="10">
        <v>43451</v>
      </c>
      <c r="P21" s="11" t="str">
        <f>"000258"</f>
        <v>000258</v>
      </c>
      <c r="Q21" s="10">
        <v>43451</v>
      </c>
      <c r="R21" s="11"/>
      <c r="S21" s="11" t="str">
        <f>"008953"</f>
        <v>008953</v>
      </c>
      <c r="T21" s="10">
        <v>43489</v>
      </c>
      <c r="U21" s="14">
        <v>12.59628</v>
      </c>
      <c r="V21" s="14">
        <v>1.2722</v>
      </c>
      <c r="W21" s="14">
        <v>11.32408</v>
      </c>
      <c r="X21" s="11">
        <v>333</v>
      </c>
      <c r="Y21" s="10">
        <v>43490</v>
      </c>
      <c r="Z21" s="11">
        <v>9980946075</v>
      </c>
      <c r="AA21" s="12" t="s">
        <v>132</v>
      </c>
      <c r="AB21" s="11" t="s">
        <v>128</v>
      </c>
      <c r="AC21" s="12" t="s">
        <v>129</v>
      </c>
      <c r="AD21" s="11" t="s">
        <v>54</v>
      </c>
      <c r="AE21" s="12" t="s">
        <v>55</v>
      </c>
      <c r="AF21" s="14">
        <f t="shared" si="0"/>
        <v>0.12596280000000001</v>
      </c>
      <c r="AG21" s="11" t="s">
        <v>68</v>
      </c>
    </row>
    <row r="22" spans="1:33" x14ac:dyDescent="0.2">
      <c r="A22" s="8">
        <v>9006</v>
      </c>
      <c r="B22" s="9" t="s">
        <v>133</v>
      </c>
      <c r="C22" s="10">
        <v>43503</v>
      </c>
      <c r="D22" s="11">
        <v>140</v>
      </c>
      <c r="E22" s="12" t="s">
        <v>34</v>
      </c>
      <c r="F22" s="12" t="s">
        <v>34</v>
      </c>
      <c r="G22" s="12" t="s">
        <v>34</v>
      </c>
      <c r="H22" s="12" t="s">
        <v>35</v>
      </c>
      <c r="I22" s="11" t="s">
        <v>134</v>
      </c>
      <c r="J22" s="12" t="s">
        <v>135</v>
      </c>
      <c r="K22" s="13" t="s">
        <v>99</v>
      </c>
      <c r="L22" s="11" t="str">
        <f>"000381"</f>
        <v>000381</v>
      </c>
      <c r="M22" s="10">
        <v>43449</v>
      </c>
      <c r="N22" s="11" t="str">
        <f>"000124"</f>
        <v>000124</v>
      </c>
      <c r="O22" s="10">
        <v>43451</v>
      </c>
      <c r="P22" s="11" t="str">
        <f>"000262"</f>
        <v>000262</v>
      </c>
      <c r="Q22" s="10">
        <v>43452</v>
      </c>
      <c r="R22" s="11"/>
      <c r="S22" s="11" t="str">
        <f>"009093"</f>
        <v>009093</v>
      </c>
      <c r="T22" s="10">
        <v>43502</v>
      </c>
      <c r="U22" s="14">
        <v>18.85688</v>
      </c>
      <c r="V22" s="14">
        <v>2.2417600000000002</v>
      </c>
      <c r="W22" s="14">
        <v>16.615120000000001</v>
      </c>
      <c r="X22" s="11">
        <v>344</v>
      </c>
      <c r="Y22" s="10">
        <v>43503</v>
      </c>
      <c r="Z22" s="11">
        <v>9632499909</v>
      </c>
      <c r="AA22" s="12" t="s">
        <v>136</v>
      </c>
      <c r="AB22" s="11" t="s">
        <v>117</v>
      </c>
      <c r="AC22" s="12" t="s">
        <v>118</v>
      </c>
      <c r="AD22" s="11" t="s">
        <v>54</v>
      </c>
      <c r="AE22" s="12" t="s">
        <v>55</v>
      </c>
      <c r="AF22" s="14">
        <f t="shared" si="0"/>
        <v>0.18856880000000001</v>
      </c>
      <c r="AG22" s="11" t="s">
        <v>68</v>
      </c>
    </row>
    <row r="23" spans="1:33" x14ac:dyDescent="0.2">
      <c r="A23" s="8">
        <v>9193</v>
      </c>
      <c r="B23" s="9" t="s">
        <v>133</v>
      </c>
      <c r="C23" s="10">
        <v>43510</v>
      </c>
      <c r="D23" s="11">
        <v>140</v>
      </c>
      <c r="E23" s="12" t="s">
        <v>34</v>
      </c>
      <c r="F23" s="12" t="s">
        <v>34</v>
      </c>
      <c r="G23" s="12" t="s">
        <v>34</v>
      </c>
      <c r="H23" s="12" t="s">
        <v>35</v>
      </c>
      <c r="I23" s="11" t="s">
        <v>137</v>
      </c>
      <c r="J23" s="12" t="s">
        <v>138</v>
      </c>
      <c r="K23" s="13" t="s">
        <v>89</v>
      </c>
      <c r="L23" s="11" t="str">
        <f>"000173"</f>
        <v>000173</v>
      </c>
      <c r="M23" s="10">
        <v>43132</v>
      </c>
      <c r="N23" s="11" t="str">
        <f>"000101"</f>
        <v>000101</v>
      </c>
      <c r="O23" s="10">
        <v>43132</v>
      </c>
      <c r="P23" s="11" t="str">
        <f>"000170"</f>
        <v>000170</v>
      </c>
      <c r="Q23" s="10">
        <v>43132</v>
      </c>
      <c r="R23" s="11"/>
      <c r="S23" s="11" t="str">
        <f>"009133"</f>
        <v>009133</v>
      </c>
      <c r="T23" s="10">
        <v>43502</v>
      </c>
      <c r="U23" s="14">
        <v>15.744730000000001</v>
      </c>
      <c r="V23" s="14">
        <v>1.60592</v>
      </c>
      <c r="W23" s="14">
        <v>14.138809999999999</v>
      </c>
      <c r="X23" s="11">
        <v>352</v>
      </c>
      <c r="Y23" s="10">
        <v>43510</v>
      </c>
      <c r="Z23" s="11">
        <v>9845678994</v>
      </c>
      <c r="AA23" s="12" t="s">
        <v>139</v>
      </c>
      <c r="AB23" s="11" t="s">
        <v>140</v>
      </c>
      <c r="AC23" s="12" t="s">
        <v>141</v>
      </c>
      <c r="AD23" s="11" t="s">
        <v>54</v>
      </c>
      <c r="AE23" s="12" t="s">
        <v>55</v>
      </c>
      <c r="AF23" s="14">
        <f t="shared" si="0"/>
        <v>0.15744730000000001</v>
      </c>
      <c r="AG23" s="11" t="s">
        <v>44</v>
      </c>
    </row>
    <row r="24" spans="1:33" x14ac:dyDescent="0.2">
      <c r="A24" s="8">
        <v>9757</v>
      </c>
      <c r="B24" s="9" t="s">
        <v>142</v>
      </c>
      <c r="C24" s="10">
        <v>43544</v>
      </c>
      <c r="D24" s="11">
        <v>140</v>
      </c>
      <c r="E24" s="12" t="s">
        <v>34</v>
      </c>
      <c r="F24" s="12" t="s">
        <v>34</v>
      </c>
      <c r="G24" s="12" t="s">
        <v>34</v>
      </c>
      <c r="H24" s="12" t="s">
        <v>35</v>
      </c>
      <c r="I24" s="11" t="s">
        <v>143</v>
      </c>
      <c r="J24" s="12" t="s">
        <v>144</v>
      </c>
      <c r="K24" s="13" t="s">
        <v>50</v>
      </c>
      <c r="L24" s="11" t="str">
        <f>"000117"</f>
        <v>000117</v>
      </c>
      <c r="M24" s="10">
        <v>43250</v>
      </c>
      <c r="N24" s="11" t="str">
        <f>"000067"</f>
        <v>000067</v>
      </c>
      <c r="O24" s="10">
        <v>43250</v>
      </c>
      <c r="P24" s="11" t="str">
        <f>"000119"</f>
        <v>000119</v>
      </c>
      <c r="Q24" s="10">
        <v>43250</v>
      </c>
      <c r="R24" s="11"/>
      <c r="S24" s="11" t="str">
        <f>"009806"</f>
        <v>009806</v>
      </c>
      <c r="T24" s="10">
        <v>43539</v>
      </c>
      <c r="U24" s="14">
        <v>19.26784</v>
      </c>
      <c r="V24" s="14">
        <v>0.92481000000000002</v>
      </c>
      <c r="W24" s="14">
        <v>18.343029999999999</v>
      </c>
      <c r="X24" s="11">
        <v>378</v>
      </c>
      <c r="Y24" s="10">
        <v>43544</v>
      </c>
      <c r="Z24" s="11">
        <v>9972550216</v>
      </c>
      <c r="AA24" s="12" t="s">
        <v>145</v>
      </c>
      <c r="AB24" s="11" t="s">
        <v>146</v>
      </c>
      <c r="AC24" s="12" t="s">
        <v>147</v>
      </c>
      <c r="AD24" s="11" t="s">
        <v>54</v>
      </c>
      <c r="AE24" s="12" t="s">
        <v>55</v>
      </c>
      <c r="AF24" s="14">
        <f t="shared" si="0"/>
        <v>0.1926784</v>
      </c>
      <c r="AG24" s="11" t="s">
        <v>68</v>
      </c>
    </row>
    <row r="25" spans="1:33" x14ac:dyDescent="0.2">
      <c r="A25" s="8">
        <v>9827</v>
      </c>
      <c r="B25" s="9" t="s">
        <v>142</v>
      </c>
      <c r="C25" s="10">
        <v>43546</v>
      </c>
      <c r="D25" s="11">
        <v>140</v>
      </c>
      <c r="E25" s="12" t="s">
        <v>34</v>
      </c>
      <c r="F25" s="12" t="s">
        <v>34</v>
      </c>
      <c r="G25" s="12" t="s">
        <v>34</v>
      </c>
      <c r="H25" s="12" t="s">
        <v>35</v>
      </c>
      <c r="I25" s="11" t="s">
        <v>148</v>
      </c>
      <c r="J25" s="12" t="s">
        <v>149</v>
      </c>
      <c r="K25" s="13" t="s">
        <v>38</v>
      </c>
      <c r="L25" s="11" t="str">
        <f>"000020"</f>
        <v>000020</v>
      </c>
      <c r="M25" s="10">
        <v>43313</v>
      </c>
      <c r="N25" s="11" t="str">
        <f>"000148"</f>
        <v>000148</v>
      </c>
      <c r="O25" s="10">
        <v>43432</v>
      </c>
      <c r="P25" s="11" t="str">
        <f>"000148"</f>
        <v>000148</v>
      </c>
      <c r="Q25" s="10">
        <v>43432</v>
      </c>
      <c r="R25" s="11"/>
      <c r="S25" s="11" t="str">
        <f>"009840"</f>
        <v>009840</v>
      </c>
      <c r="T25" s="10">
        <v>43544</v>
      </c>
      <c r="U25" s="14">
        <v>9.8201900000000002</v>
      </c>
      <c r="V25" s="14">
        <v>1.2197800000000001</v>
      </c>
      <c r="W25" s="14">
        <v>8.6004100000000001</v>
      </c>
      <c r="X25" s="11">
        <v>382</v>
      </c>
      <c r="Y25" s="10">
        <v>43546</v>
      </c>
      <c r="Z25" s="11">
        <v>9900268660</v>
      </c>
      <c r="AA25" s="12" t="s">
        <v>150</v>
      </c>
      <c r="AB25" s="11" t="s">
        <v>151</v>
      </c>
      <c r="AC25" s="12" t="s">
        <v>152</v>
      </c>
      <c r="AD25" s="11" t="s">
        <v>42</v>
      </c>
      <c r="AE25" s="12" t="s">
        <v>43</v>
      </c>
      <c r="AF25" s="14">
        <f t="shared" si="0"/>
        <v>9.8201900000000009E-2</v>
      </c>
      <c r="AG25" s="11" t="s">
        <v>68</v>
      </c>
    </row>
    <row r="26" spans="1:33" x14ac:dyDescent="0.2">
      <c r="A26" s="8">
        <v>10086</v>
      </c>
      <c r="B26" s="9" t="s">
        <v>142</v>
      </c>
      <c r="C26" s="10">
        <v>43552</v>
      </c>
      <c r="D26" s="11">
        <v>140</v>
      </c>
      <c r="E26" s="12" t="s">
        <v>34</v>
      </c>
      <c r="F26" s="12" t="s">
        <v>34</v>
      </c>
      <c r="G26" s="12" t="s">
        <v>34</v>
      </c>
      <c r="H26" s="12" t="s">
        <v>35</v>
      </c>
      <c r="I26" s="11" t="s">
        <v>153</v>
      </c>
      <c r="J26" s="12" t="s">
        <v>154</v>
      </c>
      <c r="K26" s="13" t="s">
        <v>89</v>
      </c>
      <c r="L26" s="11" t="str">
        <f>"000238"</f>
        <v>000238</v>
      </c>
      <c r="M26" s="10">
        <v>43164</v>
      </c>
      <c r="N26" s="11" t="str">
        <f>"000154"</f>
        <v>000154</v>
      </c>
      <c r="O26" s="10">
        <v>43164</v>
      </c>
      <c r="P26" s="11" t="str">
        <f>"000102"</f>
        <v>000102</v>
      </c>
      <c r="Q26" s="10">
        <v>43249</v>
      </c>
      <c r="R26" s="11"/>
      <c r="S26" s="11" t="str">
        <f>"010024"</f>
        <v>010024</v>
      </c>
      <c r="T26" s="10">
        <v>43551</v>
      </c>
      <c r="U26" s="14">
        <v>6.4625899999999996</v>
      </c>
      <c r="V26" s="14">
        <v>0.69520000000000004</v>
      </c>
      <c r="W26" s="14">
        <v>5.7673899999999998</v>
      </c>
      <c r="X26" s="11">
        <v>391</v>
      </c>
      <c r="Y26" s="10">
        <v>43552</v>
      </c>
      <c r="Z26" s="11">
        <v>9448905227</v>
      </c>
      <c r="AA26" s="12" t="s">
        <v>51</v>
      </c>
      <c r="AB26" s="11" t="s">
        <v>140</v>
      </c>
      <c r="AC26" s="12" t="s">
        <v>141</v>
      </c>
      <c r="AD26" s="11" t="s">
        <v>54</v>
      </c>
      <c r="AE26" s="12" t="s">
        <v>55</v>
      </c>
      <c r="AF26" s="14">
        <f t="shared" si="0"/>
        <v>6.46259E-2</v>
      </c>
      <c r="AG26" s="11" t="s">
        <v>155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2019-06-13T11:54:48Z</dcterms:modified>
</cp:coreProperties>
</file>