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6" i="1" l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AF25" i="1"/>
  <c r="S25" i="1"/>
  <c r="P25" i="1"/>
  <c r="N25" i="1"/>
  <c r="L25" i="1"/>
  <c r="AF24" i="1"/>
  <c r="S24" i="1"/>
  <c r="P24" i="1"/>
  <c r="N24" i="1"/>
  <c r="L24" i="1"/>
  <c r="AF23" i="1"/>
  <c r="S23" i="1"/>
  <c r="P23" i="1"/>
  <c r="N23" i="1"/>
  <c r="L23" i="1"/>
  <c r="AF22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<sst xmlns="http://schemas.openxmlformats.org/spreadsheetml/2006/main" count="523" uniqueCount="171">
  <si>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</si>
  <si>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</si>
  <si>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</si>
  <si>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</si>
  <si>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</si>
  <si>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</si>
  <si>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</si>
  <si>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</si>
  <si>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</si>
  <si>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</si>
  <si>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</si>
  <si>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</si>
  <si>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</si>
  <si>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</si>
  <si>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</si>
  <si>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</si>
  <si>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</si>
  <si>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</si>
  <si>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</si>
  <si>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</si>
  <si>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</si>
  <si>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</si>
  <si>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</si>
  <si>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</si>
  <si>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</si>
  <si>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</si>
  <si>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</si>
  <si>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</si>
  <si>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</si>
  <si>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</si>
  <si>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</si>
  <si>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</si>
  <si>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</si>
  <si>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</si>
  <si>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Ejipura</t>
  </si>
  <si>
    <t>Koramangala</t>
  </si>
  <si>
    <t>BTM Layout</t>
  </si>
  <si>
    <t>South</t>
  </si>
  <si>
    <t>148-17-000045</t>
  </si>
  <si>
    <t>Consultancy services for preparation of DPR for the work of Improvements to drain, footpath and Asphalting to selected Arterial, Sub-Arterial Roads and other connecting roads in South zone South 2016-17-Package No.18</t>
  </si>
  <si>
    <t>Footpaths &amp; Walkability</t>
  </si>
  <si>
    <t>Sri. Ramaiah Lokesh</t>
  </si>
  <si>
    <t>P3158</t>
  </si>
  <si>
    <t>SIP Infrastructure Project works</t>
  </si>
  <si>
    <t>ddo421</t>
  </si>
  <si>
    <t xml:space="preserve"> Assistant Executive Engineer Koramangala South Zone</t>
  </si>
  <si>
    <t>Pending</t>
  </si>
  <si>
    <t>148-16-000033</t>
  </si>
  <si>
    <t>Comprehensive Development of roads and drains BTM Layout constituency</t>
  </si>
  <si>
    <t>Roads &amp; Drivablility</t>
  </si>
  <si>
    <t>N M Krishnamurty</t>
  </si>
  <si>
    <t>P3106</t>
  </si>
  <si>
    <t>Nagarothana Works</t>
  </si>
  <si>
    <t>May</t>
  </si>
  <si>
    <t>Sri. Ramaiah Lokes</t>
  </si>
  <si>
    <t>148-16-000006</t>
  </si>
  <si>
    <t>Urgent work under Emergency grant for the year 2015-16 in ward No.148 Ejipura</t>
  </si>
  <si>
    <t>Other Ward Works</t>
  </si>
  <si>
    <t>Satish Nayak</t>
  </si>
  <si>
    <t>P1771</t>
  </si>
  <si>
    <t>Zone Works - POW Works</t>
  </si>
  <si>
    <t>M/s.Sapience Consultants</t>
  </si>
  <si>
    <t>June</t>
  </si>
  <si>
    <t>148-14-000012</t>
  </si>
  <si>
    <t xml:space="preserve">Concreting to damaged roads 21st cross Sampangi ramaiah road others cross road in ward No.148 </t>
  </si>
  <si>
    <t>Sri. C Krishna</t>
  </si>
  <si>
    <t>M/s Civil Experts Consultants &amp; Testing Center</t>
  </si>
  <si>
    <t>148-17-000025</t>
  </si>
  <si>
    <t>Maintainance of borewell for the year 2016-17 in ward No.148 Ejipura</t>
  </si>
  <si>
    <t>Water &amp; Sanitary</t>
  </si>
  <si>
    <t>Narayana A</t>
  </si>
  <si>
    <t>148-15-000036</t>
  </si>
  <si>
    <t>Construction of drain from Srinivagilu village main road from 100feet road signal to 5th main S T Bed and surrounding area in ward no 148 Ejipura</t>
  </si>
  <si>
    <t>P3075</t>
  </si>
  <si>
    <t>Special comprehensive development works in Bangalore city (Bangalore city in charge Minister Discretionary Grants)</t>
  </si>
  <si>
    <t>148-16-000008</t>
  </si>
  <si>
    <t>Construction of RCC box drain at Yellamma temple street Ejipura gramatana and surrounding area in ward No.148 Ejipura</t>
  </si>
  <si>
    <t>July</t>
  </si>
  <si>
    <t>148-17-000028</t>
  </si>
  <si>
    <t>Comprehensive development works in NGV Complex in ward No. 148 (Ejipura)</t>
  </si>
  <si>
    <t>M/s KRIDL</t>
  </si>
  <si>
    <t>P3111</t>
  </si>
  <si>
    <t>State Finance Commission Untied Grant Works</t>
  </si>
  <si>
    <t>Current</t>
  </si>
  <si>
    <t>148-16-000010</t>
  </si>
  <si>
    <t>Digging of New borewell Erection of Pumpset and providing pipeline at Ejipura in ward No.148</t>
  </si>
  <si>
    <t>Sri. Patel B</t>
  </si>
  <si>
    <t>P1802</t>
  </si>
  <si>
    <t>Water Supply New Areas</t>
  </si>
  <si>
    <t>148-16-000004</t>
  </si>
  <si>
    <t>Providing Electric Poles,Fittings and other equipments for the year 2015-16 in ward No.148 Ejipura</t>
  </si>
  <si>
    <t>M/S Pradeep Electricals</t>
  </si>
  <si>
    <t>ddo258</t>
  </si>
  <si>
    <t xml:space="preserve"> Executive Engineer Electrical South Zone</t>
  </si>
  <si>
    <t>148-15-000006</t>
  </si>
  <si>
    <t>Providing cement concrete to road and amp Improvements to drain at 100 feet road adjacent to Ashwini layout and other surrounding area in ward No148 Ejipura</t>
  </si>
  <si>
    <t>Sri. K Srikanta</t>
  </si>
  <si>
    <t>307-15-000028</t>
  </si>
  <si>
    <t xml:space="preserve">Excavation of accumulated earth for preventing flood from Ch: 7000 to 8500m in K-104 near NGV Ward no.148 Ejipura </t>
  </si>
  <si>
    <t>Sri.B.P.Naveen</t>
  </si>
  <si>
    <t>P2352</t>
  </si>
  <si>
    <t>Remodelling of Kormangala Valley (Non Jnnurm Works</t>
  </si>
  <si>
    <t>ddo313</t>
  </si>
  <si>
    <t xml:space="preserve"> Chief Engineer SWD Central Zone</t>
  </si>
  <si>
    <t>148-17-000044</t>
  </si>
  <si>
    <t xml:space="preserve">Providing and fixing of LED Street lights in Ward No 148 in BTM Layout Division </t>
  </si>
  <si>
    <t>M/S Sree Hari Electriclas (B.S.Hari)</t>
  </si>
  <si>
    <t>P3110</t>
  </si>
  <si>
    <t>14th Finance Commission Grant Works</t>
  </si>
  <si>
    <t>August</t>
  </si>
  <si>
    <t>148-16-000003</t>
  </si>
  <si>
    <t>Annual Maintainance work for the year 2015-16 in ward No.148 Ejipura</t>
  </si>
  <si>
    <t>Sri. M Nagesh</t>
  </si>
  <si>
    <t>148-16-000012</t>
  </si>
  <si>
    <t>Digging of New borewell Erection of Pumpset and providing pipeline at Srinivagilu surrouding in ward No.148 Ejipura</t>
  </si>
  <si>
    <t>Sri Patel B</t>
  </si>
  <si>
    <t>September</t>
  </si>
  <si>
    <t>148-17-000048</t>
  </si>
  <si>
    <t>Providing to chainlink fencing for SWD wall at Ejipura surrounding area in ward 148.</t>
  </si>
  <si>
    <t>Storm Water Drains</t>
  </si>
  <si>
    <t>148-17-000038</t>
  </si>
  <si>
    <t>Annual maintenence and repair of borewells and water supply pipelines in ward no 148</t>
  </si>
  <si>
    <t>October</t>
  </si>
  <si>
    <t>148-18-000026</t>
  </si>
  <si>
    <t>Providing LED Street lights in ward no 148</t>
  </si>
  <si>
    <t>Executive Engineer -3, KRIDL</t>
  </si>
  <si>
    <t>P3290</t>
  </si>
  <si>
    <t>14th Finance Commission Works - Providing Street Lights and Maintenance</t>
  </si>
  <si>
    <t>148-18-000005</t>
  </si>
  <si>
    <t>Providing Street lights Timer Control and other Public lighting accessories in Ejipura and surrounding areas ward no148</t>
  </si>
  <si>
    <t>Executive Engineer-3, Karnataka Rural Infrastructure,</t>
  </si>
  <si>
    <t>November</t>
  </si>
  <si>
    <t>148-18-000018</t>
  </si>
  <si>
    <t>Drilling of New Borewell and Pump Erection and Providing Pipeline at Surrounding area in ward no 148 Ejipura</t>
  </si>
  <si>
    <t>Sri. K S Ravibabu</t>
  </si>
  <si>
    <t>P3293</t>
  </si>
  <si>
    <t>14th Finance Commission Works - Drinking Water</t>
  </si>
  <si>
    <t>148-18-000022</t>
  </si>
  <si>
    <t>Improvements and Desilting of secondary drains at Ejipura ward no 148</t>
  </si>
  <si>
    <t>Sri. M Sharanu</t>
  </si>
  <si>
    <t>P3297</t>
  </si>
  <si>
    <t>14th Finance Commission Grants - SWD Works</t>
  </si>
  <si>
    <t>148-18-000024</t>
  </si>
  <si>
    <t>Development Bautification and laying of missing Cobble stones in NGV all blocks in ward No. 148</t>
  </si>
  <si>
    <t>December</t>
  </si>
  <si>
    <t>148-13-000055</t>
  </si>
  <si>
    <t>Construction of DWC Center by the side of SWD behind passport office in ward no 148</t>
  </si>
  <si>
    <t>Sri. Narasimha N</t>
  </si>
  <si>
    <t>P2906</t>
  </si>
  <si>
    <t>Solid waste management basic infra works unde 13th finance commission grants (Est 200 Cr)</t>
  </si>
  <si>
    <t>January</t>
  </si>
  <si>
    <t>148-17-000023</t>
  </si>
  <si>
    <t>Digging of New borewell, Erection of Pumpset and Providing pipeline at Ejipura and surrounding area in ward No.148</t>
  </si>
  <si>
    <t>Sri. Murali Mohan Y V</t>
  </si>
  <si>
    <t>148-18-000011</t>
  </si>
  <si>
    <t xml:space="preserve">Restoration of BWSSB road cutting portions in S.T.Bed and surrounding areas in ward No.148 Ejipura </t>
  </si>
  <si>
    <t>P3296</t>
  </si>
  <si>
    <t>14th Finance Commission Works - Road and Footpath Maintenance</t>
  </si>
  <si>
    <t>February</t>
  </si>
  <si>
    <t>148-17-000051</t>
  </si>
  <si>
    <t>Providing Park lighting and playground lighting and Street lights at NGV in ward No.148 Ejipura of BTM Constituency</t>
  </si>
  <si>
    <t>M/S.Shree Bharathi Electricals(B.K.Bhaskar)</t>
  </si>
  <si>
    <t>P2959</t>
  </si>
  <si>
    <t>Comprehensive Development of Siillover works in BTM Layout Constituency</t>
  </si>
  <si>
    <t>March</t>
  </si>
  <si>
    <t>148-18-000021</t>
  </si>
  <si>
    <t>Maintenance and Reconstruction of Damaged roads and footpath in surrounding area in ward no 148 Ejipura</t>
  </si>
  <si>
    <t>Sri K S Ravibabu</t>
  </si>
  <si>
    <t>148-14-000003</t>
  </si>
  <si>
    <t>Emegency grant for the year 2013 14 in ward No 148 Ejipura</t>
  </si>
  <si>
    <t>Patel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</si>
</sst>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6"/>
  <sheetViews>
    <sheetView tabSelected="1" workbookViewId="0">
      <pane ySplit="1" topLeftCell="A2" activePane="bottomLeft" state="frozen"/>
      <selection activeCell="H1" sqref="H1"/>
      <selection pane="bottomLeft" activeCell="A2" sqref="A2:XFD36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123</v>
      </c>
      <c r="B2" s="9" t="s">
        <v>33</v>
      </c>
      <c r="C2" s="10">
        <v>43194</v>
      </c>
      <c r="D2" s="11">
        <v>148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>"000019"</f>
        <v>000019</v>
      </c>
      <c r="M2" s="10">
        <v>42637</v>
      </c>
      <c r="N2" s="11" t="str">
        <f>"000059"</f>
        <v>000059</v>
      </c>
      <c r="O2" s="10">
        <v>42824</v>
      </c>
      <c r="P2" s="11" t="str">
        <f>"000059"</f>
        <v>000059</v>
      </c>
      <c r="Q2" s="10">
        <v>42824</v>
      </c>
      <c r="R2" s="11">
        <v>17</v>
      </c>
      <c r="S2" s="11" t="str">
        <f>"000593"</f>
        <v>000593</v>
      </c>
      <c r="T2" s="10">
        <v>42847</v>
      </c>
      <c r="U2" s="14">
        <v>94.520880000000005</v>
      </c>
      <c r="V2" s="14">
        <v>3.8301400000000001</v>
      </c>
      <c r="W2" s="14">
        <v>90.690740000000005</v>
      </c>
      <c r="X2" s="11">
        <v>1</v>
      </c>
      <c r="Y2" s="10">
        <v>43194</v>
      </c>
      <c r="Z2" s="11">
        <v>9845429079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0.94520880000000007</v>
      </c>
      <c r="AG2" s="11" t="s">
        <v>46</v>
      </c>
    </row>
    <row r="3" spans="1:33" x14ac:dyDescent="0.2">
      <c r="A3" s="8">
        <v>222</v>
      </c>
      <c r="B3" s="9" t="s">
        <v>33</v>
      </c>
      <c r="C3" s="10">
        <v>43195</v>
      </c>
      <c r="D3" s="11">
        <v>148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47</v>
      </c>
      <c r="J3" s="12" t="s">
        <v>48</v>
      </c>
      <c r="K3" s="13" t="s">
        <v>49</v>
      </c>
      <c r="L3" s="11" t="str">
        <f>"000076"</f>
        <v>000076</v>
      </c>
      <c r="M3" s="10">
        <v>43061</v>
      </c>
      <c r="N3" s="11" t="str">
        <f>"000083"</f>
        <v>000083</v>
      </c>
      <c r="O3" s="10">
        <v>43174</v>
      </c>
      <c r="P3" s="11" t="str">
        <f>"000173"</f>
        <v>000173</v>
      </c>
      <c r="Q3" s="10">
        <v>43176</v>
      </c>
      <c r="R3" s="11">
        <v>16</v>
      </c>
      <c r="S3" s="11" t="str">
        <f>"000247"</f>
        <v>000247</v>
      </c>
      <c r="T3" s="10">
        <v>43195</v>
      </c>
      <c r="U3" s="14">
        <v>133.02246</v>
      </c>
      <c r="V3" s="14">
        <v>6.18818</v>
      </c>
      <c r="W3" s="14">
        <v>126.83428000000001</v>
      </c>
      <c r="X3" s="11">
        <v>6</v>
      </c>
      <c r="Y3" s="10">
        <v>43195</v>
      </c>
      <c r="Z3" s="11">
        <v>9845020976</v>
      </c>
      <c r="AA3" s="12" t="s">
        <v>50</v>
      </c>
      <c r="AB3" s="11" t="s">
        <v>51</v>
      </c>
      <c r="AC3" s="12" t="s">
        <v>52</v>
      </c>
      <c r="AD3" s="11" t="s">
        <v>44</v>
      </c>
      <c r="AE3" s="12" t="s">
        <v>45</v>
      </c>
      <c r="AF3" s="14">
        <v>1.3302246</v>
      </c>
      <c r="AG3" s="11" t="s">
        <v>46</v>
      </c>
    </row>
    <row r="4" spans="1:33" x14ac:dyDescent="0.2">
      <c r="A4" s="8">
        <v>1011</v>
      </c>
      <c r="B4" s="9" t="s">
        <v>53</v>
      </c>
      <c r="C4" s="10">
        <v>43229</v>
      </c>
      <c r="D4" s="11">
        <v>148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38</v>
      </c>
      <c r="J4" s="12" t="s">
        <v>39</v>
      </c>
      <c r="K4" s="13" t="s">
        <v>40</v>
      </c>
      <c r="L4" s="11" t="str">
        <f>"000019"</f>
        <v>000019</v>
      </c>
      <c r="M4" s="10">
        <v>42637</v>
      </c>
      <c r="N4" s="11" t="str">
        <f>"000059"</f>
        <v>000059</v>
      </c>
      <c r="O4" s="10">
        <v>42824</v>
      </c>
      <c r="P4" s="11" t="str">
        <f>"000059"</f>
        <v>000059</v>
      </c>
      <c r="Q4" s="10">
        <v>42824</v>
      </c>
      <c r="R4" s="11">
        <v>17</v>
      </c>
      <c r="S4" s="11" t="str">
        <f>"000593"</f>
        <v>000593</v>
      </c>
      <c r="T4" s="10">
        <v>42847</v>
      </c>
      <c r="U4" s="14">
        <v>262.19351</v>
      </c>
      <c r="V4" s="14">
        <v>11.128</v>
      </c>
      <c r="W4" s="14">
        <v>251.06550999999999</v>
      </c>
      <c r="X4" s="11">
        <v>47</v>
      </c>
      <c r="Y4" s="10">
        <v>43229</v>
      </c>
      <c r="Z4" s="11">
        <v>9845429079</v>
      </c>
      <c r="AA4" s="12" t="s">
        <v>54</v>
      </c>
      <c r="AB4" s="11" t="s">
        <v>42</v>
      </c>
      <c r="AC4" s="12" t="s">
        <v>43</v>
      </c>
      <c r="AD4" s="11" t="s">
        <v>44</v>
      </c>
      <c r="AE4" s="12" t="s">
        <v>45</v>
      </c>
      <c r="AF4" s="14">
        <v>2.6219351</v>
      </c>
      <c r="AG4" s="11" t="s">
        <v>46</v>
      </c>
    </row>
    <row r="5" spans="1:33" x14ac:dyDescent="0.2">
      <c r="A5" s="8">
        <v>1238</v>
      </c>
      <c r="B5" s="9" t="s">
        <v>53</v>
      </c>
      <c r="C5" s="10">
        <v>43238</v>
      </c>
      <c r="D5" s="11">
        <v>148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55</v>
      </c>
      <c r="J5" s="12" t="s">
        <v>56</v>
      </c>
      <c r="K5" s="13" t="s">
        <v>57</v>
      </c>
      <c r="L5" s="11" t="str">
        <f>"00031."</f>
        <v>00031.</v>
      </c>
      <c r="M5" s="10">
        <v>42613</v>
      </c>
      <c r="N5" s="11" t="str">
        <f>"000091"</f>
        <v>000091</v>
      </c>
      <c r="O5" s="10">
        <v>42611</v>
      </c>
      <c r="P5" s="11" t="str">
        <f>"000192"</f>
        <v>000192</v>
      </c>
      <c r="Q5" s="10">
        <v>42613</v>
      </c>
      <c r="R5" s="11">
        <v>16</v>
      </c>
      <c r="S5" s="11" t="str">
        <f>"001470"</f>
        <v>001470</v>
      </c>
      <c r="T5" s="10">
        <v>43236</v>
      </c>
      <c r="U5" s="14">
        <v>14.83291</v>
      </c>
      <c r="V5" s="14">
        <v>1.7947599999999999</v>
      </c>
      <c r="W5" s="14">
        <v>13.03815</v>
      </c>
      <c r="X5" s="11">
        <v>52</v>
      </c>
      <c r="Y5" s="10">
        <v>43238</v>
      </c>
      <c r="Z5" s="11">
        <v>8095570820</v>
      </c>
      <c r="AA5" s="12" t="s">
        <v>58</v>
      </c>
      <c r="AB5" s="11" t="s">
        <v>59</v>
      </c>
      <c r="AC5" s="12" t="s">
        <v>60</v>
      </c>
      <c r="AD5" s="11" t="s">
        <v>44</v>
      </c>
      <c r="AE5" s="12" t="s">
        <v>45</v>
      </c>
      <c r="AF5" s="14">
        <v>0.14832909999999999</v>
      </c>
      <c r="AG5" s="11" t="s">
        <v>46</v>
      </c>
    </row>
    <row r="6" spans="1:33" x14ac:dyDescent="0.2">
      <c r="A6" s="8">
        <v>1358</v>
      </c>
      <c r="B6" s="9" t="s">
        <v>53</v>
      </c>
      <c r="C6" s="10">
        <v>43241</v>
      </c>
      <c r="D6" s="11">
        <v>148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38</v>
      </c>
      <c r="J6" s="12" t="s">
        <v>39</v>
      </c>
      <c r="K6" s="13" t="s">
        <v>40</v>
      </c>
      <c r="L6" s="11" t="str">
        <f>"000019"</f>
        <v>000019</v>
      </c>
      <c r="M6" s="10">
        <v>42637</v>
      </c>
      <c r="N6" s="11" t="str">
        <f>"000059"</f>
        <v>000059</v>
      </c>
      <c r="O6" s="10">
        <v>42824</v>
      </c>
      <c r="P6" s="11" t="str">
        <f>"000059"</f>
        <v>000059</v>
      </c>
      <c r="Q6" s="10">
        <v>42824</v>
      </c>
      <c r="R6" s="11">
        <v>17</v>
      </c>
      <c r="S6" s="11" t="str">
        <f>"000593"</f>
        <v>000593</v>
      </c>
      <c r="T6" s="10">
        <v>42847</v>
      </c>
      <c r="U6" s="14">
        <v>8.8559999999999999</v>
      </c>
      <c r="V6" s="14">
        <v>0.88560000000000005</v>
      </c>
      <c r="W6" s="14">
        <v>7.9703999999999997</v>
      </c>
      <c r="X6" s="11">
        <v>55</v>
      </c>
      <c r="Y6" s="10">
        <v>43241</v>
      </c>
      <c r="Z6" s="11">
        <v>9448853634</v>
      </c>
      <c r="AA6" s="12" t="s">
        <v>61</v>
      </c>
      <c r="AB6" s="11" t="s">
        <v>42</v>
      </c>
      <c r="AC6" s="12" t="s">
        <v>43</v>
      </c>
      <c r="AD6" s="11" t="s">
        <v>44</v>
      </c>
      <c r="AE6" s="12" t="s">
        <v>45</v>
      </c>
      <c r="AF6" s="14">
        <v>8.856E-2</v>
      </c>
      <c r="AG6" s="11" t="s">
        <v>46</v>
      </c>
    </row>
    <row r="7" spans="1:33" x14ac:dyDescent="0.2">
      <c r="A7" s="8">
        <v>1359</v>
      </c>
      <c r="B7" s="9" t="s">
        <v>53</v>
      </c>
      <c r="C7" s="10">
        <v>43241</v>
      </c>
      <c r="D7" s="11">
        <v>148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38</v>
      </c>
      <c r="J7" s="12" t="s">
        <v>39</v>
      </c>
      <c r="K7" s="13" t="s">
        <v>40</v>
      </c>
      <c r="L7" s="11" t="str">
        <f>"000019"</f>
        <v>000019</v>
      </c>
      <c r="M7" s="10">
        <v>42637</v>
      </c>
      <c r="N7" s="11" t="str">
        <f>"000059"</f>
        <v>000059</v>
      </c>
      <c r="O7" s="10">
        <v>42824</v>
      </c>
      <c r="P7" s="11" t="str">
        <f>"000059"</f>
        <v>000059</v>
      </c>
      <c r="Q7" s="10">
        <v>42824</v>
      </c>
      <c r="R7" s="11">
        <v>17</v>
      </c>
      <c r="S7" s="11" t="str">
        <f>"000593"</f>
        <v>000593</v>
      </c>
      <c r="T7" s="10">
        <v>42847</v>
      </c>
      <c r="U7" s="14">
        <v>97.784840000000003</v>
      </c>
      <c r="V7" s="14">
        <v>4.0091599999999996</v>
      </c>
      <c r="W7" s="14">
        <v>93.775679999999994</v>
      </c>
      <c r="X7" s="11">
        <v>55</v>
      </c>
      <c r="Y7" s="10">
        <v>43241</v>
      </c>
      <c r="Z7" s="11">
        <v>9845429079</v>
      </c>
      <c r="AA7" s="12" t="s">
        <v>54</v>
      </c>
      <c r="AB7" s="11" t="s">
        <v>42</v>
      </c>
      <c r="AC7" s="12" t="s">
        <v>43</v>
      </c>
      <c r="AD7" s="11" t="s">
        <v>44</v>
      </c>
      <c r="AE7" s="12" t="s">
        <v>45</v>
      </c>
      <c r="AF7" s="14">
        <v>0.97784840000000006</v>
      </c>
      <c r="AG7" s="11" t="s">
        <v>46</v>
      </c>
    </row>
    <row r="8" spans="1:33" x14ac:dyDescent="0.2">
      <c r="A8" s="8">
        <v>1676</v>
      </c>
      <c r="B8" s="9" t="s">
        <v>62</v>
      </c>
      <c r="C8" s="10">
        <v>43252</v>
      </c>
      <c r="D8" s="11">
        <v>148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63</v>
      </c>
      <c r="J8" s="12" t="s">
        <v>64</v>
      </c>
      <c r="K8" s="13" t="s">
        <v>57</v>
      </c>
      <c r="L8" s="11" t="str">
        <f>"000311"</f>
        <v>000311</v>
      </c>
      <c r="M8" s="10">
        <v>41694</v>
      </c>
      <c r="N8" s="11" t="str">
        <f>"000007"</f>
        <v>000007</v>
      </c>
      <c r="O8" s="10">
        <v>42937</v>
      </c>
      <c r="P8" s="11" t="str">
        <f>"000455"</f>
        <v>000455</v>
      </c>
      <c r="Q8" s="10">
        <v>42458</v>
      </c>
      <c r="R8" s="11">
        <v>14</v>
      </c>
      <c r="S8" s="11" t="str">
        <f>"001990"</f>
        <v>001990</v>
      </c>
      <c r="T8" s="10">
        <v>43246</v>
      </c>
      <c r="U8" s="14">
        <v>15.562939999999999</v>
      </c>
      <c r="V8" s="14">
        <v>2.26938</v>
      </c>
      <c r="W8" s="14">
        <v>13.293559999999999</v>
      </c>
      <c r="X8" s="11">
        <v>63</v>
      </c>
      <c r="Y8" s="10">
        <v>43252</v>
      </c>
      <c r="Z8" s="11">
        <v>9740377357</v>
      </c>
      <c r="AA8" s="12" t="s">
        <v>65</v>
      </c>
      <c r="AB8" s="11" t="s">
        <v>59</v>
      </c>
      <c r="AC8" s="12" t="s">
        <v>60</v>
      </c>
      <c r="AD8" s="11" t="s">
        <v>44</v>
      </c>
      <c r="AE8" s="12" t="s">
        <v>45</v>
      </c>
      <c r="AF8" s="14">
        <v>0.1556294</v>
      </c>
      <c r="AG8" s="11" t="s">
        <v>46</v>
      </c>
    </row>
    <row r="9" spans="1:33" x14ac:dyDescent="0.2">
      <c r="A9" s="8">
        <v>1883</v>
      </c>
      <c r="B9" s="9" t="s">
        <v>62</v>
      </c>
      <c r="C9" s="10">
        <v>43257</v>
      </c>
      <c r="D9" s="11">
        <v>148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47</v>
      </c>
      <c r="J9" s="12" t="s">
        <v>48</v>
      </c>
      <c r="K9" s="13" t="s">
        <v>49</v>
      </c>
      <c r="L9" s="11" t="str">
        <f>"000076"</f>
        <v>000076</v>
      </c>
      <c r="M9" s="10">
        <v>43061</v>
      </c>
      <c r="N9" s="11" t="str">
        <f>"000083"</f>
        <v>000083</v>
      </c>
      <c r="O9" s="10">
        <v>43174</v>
      </c>
      <c r="P9" s="11" t="str">
        <f>"000173"</f>
        <v>000173</v>
      </c>
      <c r="Q9" s="10">
        <v>43176</v>
      </c>
      <c r="R9" s="11">
        <v>16</v>
      </c>
      <c r="S9" s="11" t="str">
        <f>"000247"</f>
        <v>000247</v>
      </c>
      <c r="T9" s="10">
        <v>43195</v>
      </c>
      <c r="U9" s="14">
        <v>28.8</v>
      </c>
      <c r="V9" s="14">
        <v>2.88</v>
      </c>
      <c r="W9" s="14">
        <v>25.92</v>
      </c>
      <c r="X9" s="11">
        <v>70</v>
      </c>
      <c r="Y9" s="10">
        <v>43257</v>
      </c>
      <c r="Z9" s="11">
        <v>9148047120</v>
      </c>
      <c r="AA9" s="12" t="s">
        <v>66</v>
      </c>
      <c r="AB9" s="11" t="s">
        <v>51</v>
      </c>
      <c r="AC9" s="12" t="s">
        <v>52</v>
      </c>
      <c r="AD9" s="11" t="s">
        <v>44</v>
      </c>
      <c r="AE9" s="12" t="s">
        <v>45</v>
      </c>
      <c r="AF9" s="14">
        <v>0.28800000000000003</v>
      </c>
      <c r="AG9" s="11" t="s">
        <v>46</v>
      </c>
    </row>
    <row r="10" spans="1:33" x14ac:dyDescent="0.2">
      <c r="A10" s="8">
        <v>2106</v>
      </c>
      <c r="B10" s="9" t="s">
        <v>62</v>
      </c>
      <c r="C10" s="10">
        <v>43264</v>
      </c>
      <c r="D10" s="11">
        <v>148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38</v>
      </c>
      <c r="J10" s="12" t="s">
        <v>39</v>
      </c>
      <c r="K10" s="13" t="s">
        <v>40</v>
      </c>
      <c r="L10" s="11" t="str">
        <f>"000019"</f>
        <v>000019</v>
      </c>
      <c r="M10" s="10">
        <v>42637</v>
      </c>
      <c r="N10" s="11" t="str">
        <f>"000059"</f>
        <v>000059</v>
      </c>
      <c r="O10" s="10">
        <v>42824</v>
      </c>
      <c r="P10" s="11" t="str">
        <f>"000059"</f>
        <v>000059</v>
      </c>
      <c r="Q10" s="10">
        <v>42824</v>
      </c>
      <c r="R10" s="11">
        <v>17</v>
      </c>
      <c r="S10" s="11" t="str">
        <f>"000593"</f>
        <v>000593</v>
      </c>
      <c r="T10" s="10">
        <v>42847</v>
      </c>
      <c r="U10" s="14">
        <v>77.48075</v>
      </c>
      <c r="V10" s="14">
        <v>3.1518999999999999</v>
      </c>
      <c r="W10" s="14">
        <v>74.328850000000003</v>
      </c>
      <c r="X10" s="11">
        <v>82</v>
      </c>
      <c r="Y10" s="10">
        <v>43264</v>
      </c>
      <c r="Z10" s="11">
        <v>9845429079</v>
      </c>
      <c r="AA10" s="12" t="s">
        <v>54</v>
      </c>
      <c r="AB10" s="11" t="s">
        <v>42</v>
      </c>
      <c r="AC10" s="12" t="s">
        <v>43</v>
      </c>
      <c r="AD10" s="11" t="s">
        <v>44</v>
      </c>
      <c r="AE10" s="12" t="s">
        <v>45</v>
      </c>
      <c r="AF10" s="14">
        <v>0.77480749999999998</v>
      </c>
      <c r="AG10" s="11" t="s">
        <v>46</v>
      </c>
    </row>
    <row r="11" spans="1:33" x14ac:dyDescent="0.2">
      <c r="A11" s="8">
        <v>2450</v>
      </c>
      <c r="B11" s="9" t="s">
        <v>62</v>
      </c>
      <c r="C11" s="10">
        <v>43272</v>
      </c>
      <c r="D11" s="11">
        <v>148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67</v>
      </c>
      <c r="J11" s="12" t="s">
        <v>68</v>
      </c>
      <c r="K11" s="13" t="s">
        <v>69</v>
      </c>
      <c r="L11" s="11" t="str">
        <f>"000031"</f>
        <v>000031</v>
      </c>
      <c r="M11" s="10">
        <v>42867</v>
      </c>
      <c r="N11" s="11" t="str">
        <f>"000062"</f>
        <v>000062</v>
      </c>
      <c r="O11" s="10">
        <v>42902</v>
      </c>
      <c r="P11" s="11" t="str">
        <f>"000163"</f>
        <v>000163</v>
      </c>
      <c r="Q11" s="10">
        <v>42916</v>
      </c>
      <c r="R11" s="11">
        <v>17</v>
      </c>
      <c r="S11" s="11" t="str">
        <f>"002685"</f>
        <v>002685</v>
      </c>
      <c r="T11" s="10">
        <v>43270</v>
      </c>
      <c r="U11" s="14">
        <v>4.8347899999999999</v>
      </c>
      <c r="V11" s="14">
        <v>0.53666000000000003</v>
      </c>
      <c r="W11" s="14">
        <v>4.2981299999999996</v>
      </c>
      <c r="X11" s="11">
        <v>98</v>
      </c>
      <c r="Y11" s="10">
        <v>43272</v>
      </c>
      <c r="Z11" s="11">
        <v>9036883927</v>
      </c>
      <c r="AA11" s="12" t="s">
        <v>70</v>
      </c>
      <c r="AB11" s="11" t="s">
        <v>59</v>
      </c>
      <c r="AC11" s="12" t="s">
        <v>60</v>
      </c>
      <c r="AD11" s="11" t="s">
        <v>44</v>
      </c>
      <c r="AE11" s="12" t="s">
        <v>45</v>
      </c>
      <c r="AF11" s="14">
        <v>4.8347899999999999E-2</v>
      </c>
      <c r="AG11" s="11" t="s">
        <v>46</v>
      </c>
    </row>
    <row r="12" spans="1:33" x14ac:dyDescent="0.2">
      <c r="A12" s="8">
        <v>2596</v>
      </c>
      <c r="B12" s="9" t="s">
        <v>62</v>
      </c>
      <c r="C12" s="10">
        <v>43274</v>
      </c>
      <c r="D12" s="11">
        <v>148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71</v>
      </c>
      <c r="J12" s="12" t="s">
        <v>72</v>
      </c>
      <c r="K12" s="13" t="s">
        <v>40</v>
      </c>
      <c r="L12" s="11" t="str">
        <f>"000042"</f>
        <v>000042</v>
      </c>
      <c r="M12" s="10">
        <v>42444</v>
      </c>
      <c r="N12" s="11" t="str">
        <f>"000099"</f>
        <v>000099</v>
      </c>
      <c r="O12" s="10">
        <v>42669</v>
      </c>
      <c r="P12" s="11" t="str">
        <f>"00205"</f>
        <v>00205</v>
      </c>
      <c r="Q12" s="10">
        <v>42669</v>
      </c>
      <c r="R12" s="11">
        <v>15</v>
      </c>
      <c r="S12" s="11" t="str">
        <f>"002821"</f>
        <v>002821</v>
      </c>
      <c r="T12" s="10">
        <v>43273</v>
      </c>
      <c r="U12" s="14">
        <v>15.418340000000001</v>
      </c>
      <c r="V12" s="14">
        <v>2.10459</v>
      </c>
      <c r="W12" s="14">
        <v>13.313750000000001</v>
      </c>
      <c r="X12" s="11">
        <v>99</v>
      </c>
      <c r="Y12" s="10">
        <v>43274</v>
      </c>
      <c r="Z12" s="11">
        <v>8095570820</v>
      </c>
      <c r="AA12" s="12" t="s">
        <v>58</v>
      </c>
      <c r="AB12" s="11" t="s">
        <v>73</v>
      </c>
      <c r="AC12" s="12" t="s">
        <v>74</v>
      </c>
      <c r="AD12" s="11" t="s">
        <v>44</v>
      </c>
      <c r="AE12" s="12" t="s">
        <v>45</v>
      </c>
      <c r="AF12" s="14">
        <v>0.1541834</v>
      </c>
      <c r="AG12" s="11" t="s">
        <v>46</v>
      </c>
    </row>
    <row r="13" spans="1:33" x14ac:dyDescent="0.2">
      <c r="A13" s="8">
        <v>2749</v>
      </c>
      <c r="B13" s="9" t="s">
        <v>62</v>
      </c>
      <c r="C13" s="10">
        <v>43278</v>
      </c>
      <c r="D13" s="11">
        <v>148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75</v>
      </c>
      <c r="J13" s="12" t="s">
        <v>76</v>
      </c>
      <c r="K13" s="13" t="s">
        <v>40</v>
      </c>
      <c r="L13" s="11" t="str">
        <f>"000032"</f>
        <v>000032</v>
      </c>
      <c r="M13" s="10">
        <v>42613</v>
      </c>
      <c r="N13" s="11" t="str">
        <f>"000090"</f>
        <v>000090</v>
      </c>
      <c r="O13" s="10">
        <v>42611</v>
      </c>
      <c r="P13" s="11" t="str">
        <f>"00091 "</f>
        <v xml:space="preserve">00091 </v>
      </c>
      <c r="Q13" s="10">
        <v>42642</v>
      </c>
      <c r="R13" s="11">
        <v>16</v>
      </c>
      <c r="S13" s="11" t="str">
        <f>"002990"</f>
        <v>002990</v>
      </c>
      <c r="T13" s="10">
        <v>43277</v>
      </c>
      <c r="U13" s="14">
        <v>11.90935</v>
      </c>
      <c r="V13" s="14">
        <v>1.56606</v>
      </c>
      <c r="W13" s="14">
        <v>10.34329</v>
      </c>
      <c r="X13" s="11">
        <v>103</v>
      </c>
      <c r="Y13" s="10">
        <v>43278</v>
      </c>
      <c r="Z13" s="11">
        <v>8095570820</v>
      </c>
      <c r="AA13" s="12" t="s">
        <v>58</v>
      </c>
      <c r="AB13" s="11" t="s">
        <v>59</v>
      </c>
      <c r="AC13" s="12" t="s">
        <v>60</v>
      </c>
      <c r="AD13" s="11" t="s">
        <v>44</v>
      </c>
      <c r="AE13" s="12" t="s">
        <v>45</v>
      </c>
      <c r="AF13" s="14">
        <v>0.1190935</v>
      </c>
      <c r="AG13" s="11" t="s">
        <v>46</v>
      </c>
    </row>
    <row r="14" spans="1:33" x14ac:dyDescent="0.2">
      <c r="A14" s="8">
        <v>2914</v>
      </c>
      <c r="B14" s="9" t="s">
        <v>77</v>
      </c>
      <c r="C14" s="10">
        <v>43283</v>
      </c>
      <c r="D14" s="11">
        <v>148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78</v>
      </c>
      <c r="J14" s="12" t="s">
        <v>79</v>
      </c>
      <c r="K14" s="13" t="s">
        <v>57</v>
      </c>
      <c r="L14" s="11" t="str">
        <f>"000171"</f>
        <v>000171</v>
      </c>
      <c r="M14" s="10">
        <v>43257</v>
      </c>
      <c r="N14" s="11" t="str">
        <f>"000036"</f>
        <v>000036</v>
      </c>
      <c r="O14" s="10">
        <v>43257</v>
      </c>
      <c r="P14" s="11" t="str">
        <f>"000061"</f>
        <v>000061</v>
      </c>
      <c r="Q14" s="10">
        <v>43262</v>
      </c>
      <c r="R14" s="11">
        <v>17</v>
      </c>
      <c r="S14" s="11" t="str">
        <f>"002977"</f>
        <v>002977</v>
      </c>
      <c r="T14" s="10">
        <v>43276</v>
      </c>
      <c r="U14" s="14">
        <v>49.835030000000003</v>
      </c>
      <c r="V14" s="14">
        <v>3.7513000000000001</v>
      </c>
      <c r="W14" s="14">
        <v>46.083730000000003</v>
      </c>
      <c r="X14" s="11">
        <v>104</v>
      </c>
      <c r="Y14" s="10">
        <v>43283</v>
      </c>
      <c r="Z14" s="11">
        <v>9916991789</v>
      </c>
      <c r="AA14" s="12" t="s">
        <v>80</v>
      </c>
      <c r="AB14" s="11" t="s">
        <v>81</v>
      </c>
      <c r="AC14" s="12" t="s">
        <v>82</v>
      </c>
      <c r="AD14" s="11" t="s">
        <v>44</v>
      </c>
      <c r="AE14" s="12" t="s">
        <v>45</v>
      </c>
      <c r="AF14" s="14">
        <v>0.49835030000000002</v>
      </c>
      <c r="AG14" s="11" t="s">
        <v>83</v>
      </c>
    </row>
    <row r="15" spans="1:33" x14ac:dyDescent="0.2">
      <c r="A15" s="8">
        <v>2915</v>
      </c>
      <c r="B15" s="9" t="s">
        <v>77</v>
      </c>
      <c r="C15" s="10">
        <v>43283</v>
      </c>
      <c r="D15" s="11">
        <v>148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84</v>
      </c>
      <c r="J15" s="12" t="s">
        <v>85</v>
      </c>
      <c r="K15" s="13" t="s">
        <v>69</v>
      </c>
      <c r="L15" s="11" t="str">
        <f>"00025."</f>
        <v>00025.</v>
      </c>
      <c r="M15" s="10">
        <v>42577</v>
      </c>
      <c r="N15" s="11" t="str">
        <f>"000002"</f>
        <v>000002</v>
      </c>
      <c r="O15" s="10">
        <v>42928</v>
      </c>
      <c r="P15" s="11" t="str">
        <f>"000004"</f>
        <v>000004</v>
      </c>
      <c r="Q15" s="10">
        <v>42929</v>
      </c>
      <c r="R15" s="11">
        <v>16</v>
      </c>
      <c r="S15" s="11" t="str">
        <f>"003182"</f>
        <v>003182</v>
      </c>
      <c r="T15" s="10">
        <v>43280</v>
      </c>
      <c r="U15" s="14">
        <v>9.3758400000000002</v>
      </c>
      <c r="V15" s="14">
        <v>1.0506899999999999</v>
      </c>
      <c r="W15" s="14">
        <v>8.3251500000000007</v>
      </c>
      <c r="X15" s="11">
        <v>107</v>
      </c>
      <c r="Y15" s="10">
        <v>43283</v>
      </c>
      <c r="Z15" s="11">
        <v>9448057156</v>
      </c>
      <c r="AA15" s="12" t="s">
        <v>86</v>
      </c>
      <c r="AB15" s="11" t="s">
        <v>87</v>
      </c>
      <c r="AC15" s="12" t="s">
        <v>88</v>
      </c>
      <c r="AD15" s="11" t="s">
        <v>44</v>
      </c>
      <c r="AE15" s="12" t="s">
        <v>45</v>
      </c>
      <c r="AF15" s="14">
        <v>9.3758400000000006E-2</v>
      </c>
      <c r="AG15" s="11" t="s">
        <v>46</v>
      </c>
    </row>
    <row r="16" spans="1:33" x14ac:dyDescent="0.2">
      <c r="A16" s="8">
        <v>3096</v>
      </c>
      <c r="B16" s="9" t="s">
        <v>77</v>
      </c>
      <c r="C16" s="10">
        <v>43287</v>
      </c>
      <c r="D16" s="11">
        <v>148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89</v>
      </c>
      <c r="J16" s="12" t="s">
        <v>90</v>
      </c>
      <c r="K16" s="13" t="s">
        <v>40</v>
      </c>
      <c r="L16" s="11" t="str">
        <f>"000032"</f>
        <v>000032</v>
      </c>
      <c r="M16" s="10">
        <v>42495</v>
      </c>
      <c r="N16" s="11" t="str">
        <f>"000061"</f>
        <v>000061</v>
      </c>
      <c r="O16" s="10">
        <v>42621</v>
      </c>
      <c r="P16" s="11" t="str">
        <f>"000193"</f>
        <v>000193</v>
      </c>
      <c r="Q16" s="10">
        <v>42621</v>
      </c>
      <c r="R16" s="11">
        <v>16</v>
      </c>
      <c r="S16" s="11" t="str">
        <f>"003318"</f>
        <v>003318</v>
      </c>
      <c r="T16" s="10">
        <v>43285</v>
      </c>
      <c r="U16" s="14">
        <v>7.5851100000000002</v>
      </c>
      <c r="V16" s="14">
        <v>0.53852999999999995</v>
      </c>
      <c r="W16" s="14">
        <v>7.0465799999999996</v>
      </c>
      <c r="X16" s="11">
        <v>113</v>
      </c>
      <c r="Y16" s="10">
        <v>43287</v>
      </c>
      <c r="Z16" s="11">
        <v>9686681397</v>
      </c>
      <c r="AA16" s="12" t="s">
        <v>91</v>
      </c>
      <c r="AB16" s="11" t="s">
        <v>59</v>
      </c>
      <c r="AC16" s="12" t="s">
        <v>60</v>
      </c>
      <c r="AD16" s="11" t="s">
        <v>92</v>
      </c>
      <c r="AE16" s="12" t="s">
        <v>93</v>
      </c>
      <c r="AF16" s="14">
        <v>7.5851100000000005E-2</v>
      </c>
      <c r="AG16" s="11" t="s">
        <v>46</v>
      </c>
    </row>
    <row r="17" spans="1:33" x14ac:dyDescent="0.2">
      <c r="A17" s="8">
        <v>3097</v>
      </c>
      <c r="B17" s="9" t="s">
        <v>77</v>
      </c>
      <c r="C17" s="10">
        <v>43287</v>
      </c>
      <c r="D17" s="11">
        <v>148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94</v>
      </c>
      <c r="J17" s="12" t="s">
        <v>95</v>
      </c>
      <c r="K17" s="13" t="s">
        <v>40</v>
      </c>
      <c r="L17" s="11" t="str">
        <f>"00071."</f>
        <v>00071.</v>
      </c>
      <c r="M17" s="10">
        <v>42887</v>
      </c>
      <c r="N17" s="11" t="str">
        <f>"000147"</f>
        <v>000147</v>
      </c>
      <c r="O17" s="10">
        <v>42277</v>
      </c>
      <c r="P17" s="11" t="str">
        <f>"000319"</f>
        <v>000319</v>
      </c>
      <c r="Q17" s="10">
        <v>42277</v>
      </c>
      <c r="R17" s="11">
        <v>15</v>
      </c>
      <c r="S17" s="11" t="str">
        <f>"003292"</f>
        <v>003292</v>
      </c>
      <c r="T17" s="10">
        <v>43284</v>
      </c>
      <c r="U17" s="14">
        <v>18.69021</v>
      </c>
      <c r="V17" s="14">
        <v>2.1546099999999999</v>
      </c>
      <c r="W17" s="14">
        <v>16.535599999999999</v>
      </c>
      <c r="X17" s="11">
        <v>115</v>
      </c>
      <c r="Y17" s="10">
        <v>43287</v>
      </c>
      <c r="Z17" s="11">
        <v>9886009149</v>
      </c>
      <c r="AA17" s="12" t="s">
        <v>96</v>
      </c>
      <c r="AB17" s="11" t="s">
        <v>59</v>
      </c>
      <c r="AC17" s="12" t="s">
        <v>60</v>
      </c>
      <c r="AD17" s="11" t="s">
        <v>44</v>
      </c>
      <c r="AE17" s="12" t="s">
        <v>45</v>
      </c>
      <c r="AF17" s="14">
        <v>0.18690210000000002</v>
      </c>
      <c r="AG17" s="11" t="s">
        <v>46</v>
      </c>
    </row>
    <row r="18" spans="1:33" x14ac:dyDescent="0.2">
      <c r="A18" s="8">
        <v>4009</v>
      </c>
      <c r="B18" s="9" t="s">
        <v>77</v>
      </c>
      <c r="C18" s="10">
        <v>43307</v>
      </c>
      <c r="D18" s="11">
        <v>148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97</v>
      </c>
      <c r="J18" s="12" t="s">
        <v>98</v>
      </c>
      <c r="K18" s="13" t="s">
        <v>57</v>
      </c>
      <c r="L18" s="11" t="str">
        <f>"00013A"</f>
        <v>00013A</v>
      </c>
      <c r="M18" s="10">
        <v>42817</v>
      </c>
      <c r="N18" s="11" t="str">
        <f>"000037"</f>
        <v>000037</v>
      </c>
      <c r="O18" s="10">
        <v>42737</v>
      </c>
      <c r="P18" s="11" t="str">
        <f>"000299"</f>
        <v>000299</v>
      </c>
      <c r="Q18" s="10">
        <v>42795</v>
      </c>
      <c r="R18" s="11">
        <v>15</v>
      </c>
      <c r="S18" s="11" t="str">
        <f>"003980"</f>
        <v>003980</v>
      </c>
      <c r="T18" s="10">
        <v>43300</v>
      </c>
      <c r="U18" s="14">
        <v>10.1905</v>
      </c>
      <c r="V18" s="14">
        <v>0.67949999999999999</v>
      </c>
      <c r="W18" s="14">
        <v>9.5109999999999992</v>
      </c>
      <c r="X18" s="11">
        <v>142</v>
      </c>
      <c r="Y18" s="10">
        <v>43307</v>
      </c>
      <c r="Z18" s="11">
        <v>9986692183</v>
      </c>
      <c r="AA18" s="12" t="s">
        <v>99</v>
      </c>
      <c r="AB18" s="11" t="s">
        <v>100</v>
      </c>
      <c r="AC18" s="12" t="s">
        <v>101</v>
      </c>
      <c r="AD18" s="11" t="s">
        <v>102</v>
      </c>
      <c r="AE18" s="12" t="s">
        <v>103</v>
      </c>
      <c r="AF18" s="14">
        <v>0.101905</v>
      </c>
      <c r="AG18" s="11" t="s">
        <v>46</v>
      </c>
    </row>
    <row r="19" spans="1:33" x14ac:dyDescent="0.2">
      <c r="A19" s="8">
        <v>4151</v>
      </c>
      <c r="B19" s="9" t="s">
        <v>77</v>
      </c>
      <c r="C19" s="10">
        <v>43308</v>
      </c>
      <c r="D19" s="11">
        <v>148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104</v>
      </c>
      <c r="J19" s="12" t="s">
        <v>105</v>
      </c>
      <c r="K19" s="13" t="s">
        <v>40</v>
      </c>
      <c r="L19" s="11" t="str">
        <f>"000149"</f>
        <v>000149</v>
      </c>
      <c r="M19" s="10">
        <v>43129</v>
      </c>
      <c r="N19" s="11" t="str">
        <f>"000137"</f>
        <v>000137</v>
      </c>
      <c r="O19" s="10">
        <v>43181</v>
      </c>
      <c r="P19" s="11" t="str">
        <f>"000138"</f>
        <v>000138</v>
      </c>
      <c r="Q19" s="10">
        <v>43181</v>
      </c>
      <c r="R19" s="11">
        <v>17</v>
      </c>
      <c r="S19" s="11" t="str">
        <f>"004383"</f>
        <v>004383</v>
      </c>
      <c r="T19" s="10">
        <v>43306</v>
      </c>
      <c r="U19" s="14">
        <v>6.6932499999999999</v>
      </c>
      <c r="V19" s="14">
        <v>0.20749000000000001</v>
      </c>
      <c r="W19" s="14">
        <v>6.48576</v>
      </c>
      <c r="X19" s="11">
        <v>143</v>
      </c>
      <c r="Y19" s="10">
        <v>43308</v>
      </c>
      <c r="Z19" s="11">
        <v>9900268660</v>
      </c>
      <c r="AA19" s="12" t="s">
        <v>106</v>
      </c>
      <c r="AB19" s="11" t="s">
        <v>107</v>
      </c>
      <c r="AC19" s="12" t="s">
        <v>108</v>
      </c>
      <c r="AD19" s="11" t="s">
        <v>92</v>
      </c>
      <c r="AE19" s="12" t="s">
        <v>93</v>
      </c>
      <c r="AF19" s="14">
        <v>6.6932500000000006E-2</v>
      </c>
      <c r="AG19" s="11" t="s">
        <v>46</v>
      </c>
    </row>
    <row r="20" spans="1:33" x14ac:dyDescent="0.2">
      <c r="A20" s="8">
        <v>4562</v>
      </c>
      <c r="B20" s="9" t="s">
        <v>109</v>
      </c>
      <c r="C20" s="10">
        <v>43318</v>
      </c>
      <c r="D20" s="11">
        <v>148</v>
      </c>
      <c r="E20" s="12" t="s">
        <v>34</v>
      </c>
      <c r="F20" s="12" t="s">
        <v>35</v>
      </c>
      <c r="G20" s="12" t="s">
        <v>36</v>
      </c>
      <c r="H20" s="12" t="s">
        <v>37</v>
      </c>
      <c r="I20" s="11" t="s">
        <v>110</v>
      </c>
      <c r="J20" s="12" t="s">
        <v>111</v>
      </c>
      <c r="K20" s="13" t="s">
        <v>57</v>
      </c>
      <c r="L20" s="11" t="str">
        <f>"000064"</f>
        <v>000064</v>
      </c>
      <c r="M20" s="10">
        <v>42460</v>
      </c>
      <c r="N20" s="11" t="str">
        <f>"000017"</f>
        <v>000017</v>
      </c>
      <c r="O20" s="10">
        <v>42842</v>
      </c>
      <c r="P20" s="11" t="str">
        <f>"000046"</f>
        <v>000046</v>
      </c>
      <c r="Q20" s="10">
        <v>42885</v>
      </c>
      <c r="R20" s="11">
        <v>16</v>
      </c>
      <c r="S20" s="11" t="str">
        <f>"004867"</f>
        <v>004867</v>
      </c>
      <c r="T20" s="10">
        <v>43316</v>
      </c>
      <c r="U20" s="14">
        <v>12.57766</v>
      </c>
      <c r="V20" s="14">
        <v>1.3961300000000001</v>
      </c>
      <c r="W20" s="14">
        <v>11.18153</v>
      </c>
      <c r="X20" s="11">
        <v>158</v>
      </c>
      <c r="Y20" s="10">
        <v>43318</v>
      </c>
      <c r="Z20" s="11">
        <v>9902357755</v>
      </c>
      <c r="AA20" s="12" t="s">
        <v>112</v>
      </c>
      <c r="AB20" s="11" t="s">
        <v>59</v>
      </c>
      <c r="AC20" s="12" t="s">
        <v>60</v>
      </c>
      <c r="AD20" s="11" t="s">
        <v>44</v>
      </c>
      <c r="AE20" s="12" t="s">
        <v>45</v>
      </c>
      <c r="AF20" s="14">
        <v>0.12577659999999999</v>
      </c>
      <c r="AG20" s="11" t="s">
        <v>46</v>
      </c>
    </row>
    <row r="21" spans="1:33" x14ac:dyDescent="0.2">
      <c r="A21" s="8">
        <v>4563</v>
      </c>
      <c r="B21" s="9" t="s">
        <v>109</v>
      </c>
      <c r="C21" s="10">
        <v>43318</v>
      </c>
      <c r="D21" s="11">
        <v>148</v>
      </c>
      <c r="E21" s="12" t="s">
        <v>34</v>
      </c>
      <c r="F21" s="12" t="s">
        <v>35</v>
      </c>
      <c r="G21" s="12" t="s">
        <v>36</v>
      </c>
      <c r="H21" s="12" t="s">
        <v>37</v>
      </c>
      <c r="I21" s="11" t="s">
        <v>113</v>
      </c>
      <c r="J21" s="12" t="s">
        <v>114</v>
      </c>
      <c r="K21" s="13" t="s">
        <v>69</v>
      </c>
      <c r="L21" s="11" t="str">
        <f>"000024"</f>
        <v>000024</v>
      </c>
      <c r="M21" s="10">
        <v>42910</v>
      </c>
      <c r="N21" s="11" t="str">
        <f>"000001"</f>
        <v>000001</v>
      </c>
      <c r="O21" s="10">
        <v>42928</v>
      </c>
      <c r="P21" s="11" t="str">
        <f>"000003"</f>
        <v>000003</v>
      </c>
      <c r="Q21" s="10">
        <v>42929</v>
      </c>
      <c r="R21" s="11">
        <v>16</v>
      </c>
      <c r="S21" s="11" t="str">
        <f>"004793"</f>
        <v>004793</v>
      </c>
      <c r="T21" s="10">
        <v>43314</v>
      </c>
      <c r="U21" s="14">
        <v>5.9513999999999996</v>
      </c>
      <c r="V21" s="14">
        <v>0.71060000000000001</v>
      </c>
      <c r="W21" s="14">
        <v>5.2408000000000001</v>
      </c>
      <c r="X21" s="11">
        <v>160</v>
      </c>
      <c r="Y21" s="10">
        <v>43318</v>
      </c>
      <c r="Z21" s="11">
        <v>9448057156</v>
      </c>
      <c r="AA21" s="12" t="s">
        <v>115</v>
      </c>
      <c r="AB21" s="11" t="s">
        <v>87</v>
      </c>
      <c r="AC21" s="12" t="s">
        <v>88</v>
      </c>
      <c r="AD21" s="11" t="s">
        <v>44</v>
      </c>
      <c r="AE21" s="12" t="s">
        <v>45</v>
      </c>
      <c r="AF21" s="14">
        <v>5.9513999999999997E-2</v>
      </c>
      <c r="AG21" s="11" t="s">
        <v>46</v>
      </c>
    </row>
    <row r="22" spans="1:33" x14ac:dyDescent="0.2">
      <c r="A22" s="8">
        <v>5398</v>
      </c>
      <c r="B22" s="9" t="s">
        <v>116</v>
      </c>
      <c r="C22" s="10">
        <v>43349</v>
      </c>
      <c r="D22" s="11">
        <v>148</v>
      </c>
      <c r="E22" s="12" t="s">
        <v>34</v>
      </c>
      <c r="F22" s="12" t="s">
        <v>35</v>
      </c>
      <c r="G22" s="12" t="s">
        <v>36</v>
      </c>
      <c r="H22" s="12" t="s">
        <v>37</v>
      </c>
      <c r="I22" s="11" t="s">
        <v>117</v>
      </c>
      <c r="J22" s="12" t="s">
        <v>118</v>
      </c>
      <c r="K22" s="13" t="s">
        <v>119</v>
      </c>
      <c r="L22" s="11" t="str">
        <f>"000204"</f>
        <v>000204</v>
      </c>
      <c r="M22" s="10">
        <v>43339</v>
      </c>
      <c r="N22" s="11" t="str">
        <f>"000061"</f>
        <v>000061</v>
      </c>
      <c r="O22" s="10">
        <v>43341</v>
      </c>
      <c r="P22" s="11" t="str">
        <f>"000104"</f>
        <v>000104</v>
      </c>
      <c r="Q22" s="10">
        <v>43341</v>
      </c>
      <c r="R22" s="11">
        <v>17</v>
      </c>
      <c r="S22" s="11" t="str">
        <f>"005613"</f>
        <v>005613</v>
      </c>
      <c r="T22" s="10">
        <v>43347</v>
      </c>
      <c r="U22" s="14">
        <v>19.998349999999999</v>
      </c>
      <c r="V22" s="14">
        <v>1.7709699999999999</v>
      </c>
      <c r="W22" s="14">
        <v>18.22738</v>
      </c>
      <c r="X22" s="11">
        <v>194</v>
      </c>
      <c r="Y22" s="10">
        <v>43349</v>
      </c>
      <c r="Z22" s="11">
        <v>9448440214</v>
      </c>
      <c r="AA22" s="12" t="s">
        <v>80</v>
      </c>
      <c r="AB22" s="11" t="s">
        <v>107</v>
      </c>
      <c r="AC22" s="12" t="s">
        <v>108</v>
      </c>
      <c r="AD22" s="11" t="s">
        <v>44</v>
      </c>
      <c r="AE22" s="12" t="s">
        <v>45</v>
      </c>
      <c r="AF22" s="14">
        <f t="shared" ref="AF22:AF36" si="0">U22/100</f>
        <v>0.19998349999999998</v>
      </c>
      <c r="AG22" s="11" t="s">
        <v>83</v>
      </c>
    </row>
    <row r="23" spans="1:33" x14ac:dyDescent="0.2">
      <c r="A23" s="8">
        <v>5496</v>
      </c>
      <c r="B23" s="9" t="s">
        <v>116</v>
      </c>
      <c r="C23" s="10">
        <v>43357</v>
      </c>
      <c r="D23" s="11">
        <v>148</v>
      </c>
      <c r="E23" s="12" t="s">
        <v>34</v>
      </c>
      <c r="F23" s="12" t="s">
        <v>35</v>
      </c>
      <c r="G23" s="12" t="s">
        <v>36</v>
      </c>
      <c r="H23" s="12" t="s">
        <v>37</v>
      </c>
      <c r="I23" s="11" t="s">
        <v>120</v>
      </c>
      <c r="J23" s="12" t="s">
        <v>121</v>
      </c>
      <c r="K23" s="13" t="s">
        <v>69</v>
      </c>
      <c r="L23" s="11" t="str">
        <f>"000103"</f>
        <v>000103</v>
      </c>
      <c r="M23" s="10">
        <v>43082</v>
      </c>
      <c r="N23" s="11" t="str">
        <f>"000040"</f>
        <v>000040</v>
      </c>
      <c r="O23" s="10">
        <v>43082</v>
      </c>
      <c r="P23" s="11" t="str">
        <f>"000094"</f>
        <v>000094</v>
      </c>
      <c r="Q23" s="10">
        <v>43083</v>
      </c>
      <c r="R23" s="11">
        <v>17</v>
      </c>
      <c r="S23" s="11" t="str">
        <f>"005712"</f>
        <v>005712</v>
      </c>
      <c r="T23" s="10">
        <v>43350</v>
      </c>
      <c r="U23" s="14">
        <v>14.44215</v>
      </c>
      <c r="V23" s="14">
        <v>1.07538</v>
      </c>
      <c r="W23" s="14">
        <v>13.366770000000001</v>
      </c>
      <c r="X23" s="11">
        <v>204</v>
      </c>
      <c r="Y23" s="10">
        <v>43357</v>
      </c>
      <c r="Z23" s="11">
        <v>8095570820</v>
      </c>
      <c r="AA23" s="12" t="s">
        <v>58</v>
      </c>
      <c r="AB23" s="11" t="s">
        <v>87</v>
      </c>
      <c r="AC23" s="12" t="s">
        <v>88</v>
      </c>
      <c r="AD23" s="11" t="s">
        <v>44</v>
      </c>
      <c r="AE23" s="12" t="s">
        <v>45</v>
      </c>
      <c r="AF23" s="14">
        <f t="shared" si="0"/>
        <v>0.14442150000000001</v>
      </c>
      <c r="AG23" s="11" t="s">
        <v>46</v>
      </c>
    </row>
    <row r="24" spans="1:33" x14ac:dyDescent="0.2">
      <c r="A24" s="8">
        <v>6223</v>
      </c>
      <c r="B24" s="9" t="s">
        <v>122</v>
      </c>
      <c r="C24" s="10">
        <v>43385</v>
      </c>
      <c r="D24" s="11">
        <v>148</v>
      </c>
      <c r="E24" s="12" t="s">
        <v>34</v>
      </c>
      <c r="F24" s="12" t="s">
        <v>35</v>
      </c>
      <c r="G24" s="12" t="s">
        <v>36</v>
      </c>
      <c r="H24" s="12" t="s">
        <v>37</v>
      </c>
      <c r="I24" s="11" t="s">
        <v>38</v>
      </c>
      <c r="J24" s="12" t="s">
        <v>39</v>
      </c>
      <c r="K24" s="13" t="s">
        <v>40</v>
      </c>
      <c r="L24" s="11" t="str">
        <f>"000019"</f>
        <v>000019</v>
      </c>
      <c r="M24" s="10">
        <v>42637</v>
      </c>
      <c r="N24" s="11" t="str">
        <f>"000059"</f>
        <v>000059</v>
      </c>
      <c r="O24" s="10">
        <v>42824</v>
      </c>
      <c r="P24" s="11" t="str">
        <f>"000059"</f>
        <v>000059</v>
      </c>
      <c r="Q24" s="10">
        <v>42824</v>
      </c>
      <c r="R24" s="11">
        <v>17</v>
      </c>
      <c r="S24" s="11" t="str">
        <f>"000593"</f>
        <v>000593</v>
      </c>
      <c r="T24" s="10">
        <v>42847</v>
      </c>
      <c r="U24" s="14">
        <v>200.00915000000001</v>
      </c>
      <c r="V24" s="14">
        <v>10.20045</v>
      </c>
      <c r="W24" s="14">
        <v>189.80869999999999</v>
      </c>
      <c r="X24" s="11">
        <v>227</v>
      </c>
      <c r="Y24" s="10">
        <v>43385</v>
      </c>
      <c r="Z24" s="11">
        <v>9845429079</v>
      </c>
      <c r="AA24" s="12" t="s">
        <v>54</v>
      </c>
      <c r="AB24" s="11" t="s">
        <v>42</v>
      </c>
      <c r="AC24" s="12" t="s">
        <v>43</v>
      </c>
      <c r="AD24" s="11" t="s">
        <v>44</v>
      </c>
      <c r="AE24" s="12" t="s">
        <v>45</v>
      </c>
      <c r="AF24" s="14">
        <f t="shared" si="0"/>
        <v>2.0000914999999999</v>
      </c>
      <c r="AG24" s="11" t="s">
        <v>46</v>
      </c>
    </row>
    <row r="25" spans="1:33" x14ac:dyDescent="0.2">
      <c r="A25" s="8">
        <v>6224</v>
      </c>
      <c r="B25" s="9" t="s">
        <v>122</v>
      </c>
      <c r="C25" s="10">
        <v>43385</v>
      </c>
      <c r="D25" s="11">
        <v>148</v>
      </c>
      <c r="E25" s="12" t="s">
        <v>34</v>
      </c>
      <c r="F25" s="12" t="s">
        <v>35</v>
      </c>
      <c r="G25" s="12" t="s">
        <v>36</v>
      </c>
      <c r="H25" s="12" t="s">
        <v>37</v>
      </c>
      <c r="I25" s="11" t="s">
        <v>38</v>
      </c>
      <c r="J25" s="12" t="s">
        <v>39</v>
      </c>
      <c r="K25" s="13" t="s">
        <v>40</v>
      </c>
      <c r="L25" s="11" t="str">
        <f>"000019"</f>
        <v>000019</v>
      </c>
      <c r="M25" s="10">
        <v>42637</v>
      </c>
      <c r="N25" s="11" t="str">
        <f>"000059"</f>
        <v>000059</v>
      </c>
      <c r="O25" s="10">
        <v>42824</v>
      </c>
      <c r="P25" s="11" t="str">
        <f>"000059"</f>
        <v>000059</v>
      </c>
      <c r="Q25" s="10">
        <v>42824</v>
      </c>
      <c r="R25" s="11">
        <v>17</v>
      </c>
      <c r="S25" s="11" t="str">
        <f>"000593"</f>
        <v>000593</v>
      </c>
      <c r="T25" s="10">
        <v>42847</v>
      </c>
      <c r="U25" s="14">
        <v>200.00915000000001</v>
      </c>
      <c r="V25" s="14">
        <v>10.20045</v>
      </c>
      <c r="W25" s="14">
        <v>189.80869999999999</v>
      </c>
      <c r="X25" s="11">
        <v>227</v>
      </c>
      <c r="Y25" s="10">
        <v>43385</v>
      </c>
      <c r="Z25" s="11">
        <v>9845429079</v>
      </c>
      <c r="AA25" s="12" t="s">
        <v>54</v>
      </c>
      <c r="AB25" s="11" t="s">
        <v>42</v>
      </c>
      <c r="AC25" s="12" t="s">
        <v>43</v>
      </c>
      <c r="AD25" s="11" t="s">
        <v>44</v>
      </c>
      <c r="AE25" s="12" t="s">
        <v>45</v>
      </c>
      <c r="AF25" s="14">
        <f t="shared" si="0"/>
        <v>2.0000914999999999</v>
      </c>
      <c r="AG25" s="11" t="s">
        <v>46</v>
      </c>
    </row>
    <row r="26" spans="1:33" x14ac:dyDescent="0.2">
      <c r="A26" s="8">
        <v>6771</v>
      </c>
      <c r="B26" s="9" t="s">
        <v>122</v>
      </c>
      <c r="C26" s="10">
        <v>43390</v>
      </c>
      <c r="D26" s="11">
        <v>148</v>
      </c>
      <c r="E26" s="12" t="s">
        <v>34</v>
      </c>
      <c r="F26" s="12" t="s">
        <v>35</v>
      </c>
      <c r="G26" s="12" t="s">
        <v>36</v>
      </c>
      <c r="H26" s="12" t="s">
        <v>37</v>
      </c>
      <c r="I26" s="11" t="s">
        <v>123</v>
      </c>
      <c r="J26" s="12" t="s">
        <v>124</v>
      </c>
      <c r="K26" s="13" t="s">
        <v>40</v>
      </c>
      <c r="L26" s="11" t="str">
        <f>"000071"</f>
        <v>000071</v>
      </c>
      <c r="M26" s="10">
        <v>43354</v>
      </c>
      <c r="N26" s="11" t="str">
        <f>"000071"</f>
        <v>000071</v>
      </c>
      <c r="O26" s="10">
        <v>43354</v>
      </c>
      <c r="P26" s="11" t="str">
        <f>"000072"</f>
        <v>000072</v>
      </c>
      <c r="Q26" s="10">
        <v>43354</v>
      </c>
      <c r="R26" s="11">
        <v>18</v>
      </c>
      <c r="S26" s="11" t="str">
        <f>"006835"</f>
        <v>006835</v>
      </c>
      <c r="T26" s="10">
        <v>43389</v>
      </c>
      <c r="U26" s="14">
        <v>9.9898699999999998</v>
      </c>
      <c r="V26" s="14">
        <v>1.0589299999999999</v>
      </c>
      <c r="W26" s="14">
        <v>8.9309399999999997</v>
      </c>
      <c r="X26" s="11">
        <v>245</v>
      </c>
      <c r="Y26" s="10">
        <v>43390</v>
      </c>
      <c r="Z26" s="11">
        <v>0</v>
      </c>
      <c r="AA26" s="12" t="s">
        <v>125</v>
      </c>
      <c r="AB26" s="11" t="s">
        <v>126</v>
      </c>
      <c r="AC26" s="12" t="s">
        <v>127</v>
      </c>
      <c r="AD26" s="11" t="s">
        <v>92</v>
      </c>
      <c r="AE26" s="12" t="s">
        <v>93</v>
      </c>
      <c r="AF26" s="14">
        <f t="shared" si="0"/>
        <v>9.9898699999999993E-2</v>
      </c>
      <c r="AG26" s="11" t="s">
        <v>83</v>
      </c>
    </row>
    <row r="27" spans="1:33" x14ac:dyDescent="0.2">
      <c r="A27" s="8">
        <v>6772</v>
      </c>
      <c r="B27" s="9" t="s">
        <v>122</v>
      </c>
      <c r="C27" s="10">
        <v>43390</v>
      </c>
      <c r="D27" s="11">
        <v>148</v>
      </c>
      <c r="E27" s="12" t="s">
        <v>34</v>
      </c>
      <c r="F27" s="12" t="s">
        <v>35</v>
      </c>
      <c r="G27" s="12" t="s">
        <v>36</v>
      </c>
      <c r="H27" s="12" t="s">
        <v>37</v>
      </c>
      <c r="I27" s="11" t="s">
        <v>128</v>
      </c>
      <c r="J27" s="12" t="s">
        <v>129</v>
      </c>
      <c r="K27" s="13" t="s">
        <v>40</v>
      </c>
      <c r="L27" s="11" t="str">
        <f>"000056"</f>
        <v>000056</v>
      </c>
      <c r="M27" s="10">
        <v>43311</v>
      </c>
      <c r="N27" s="11" t="str">
        <f>"000058"</f>
        <v>000058</v>
      </c>
      <c r="O27" s="10">
        <v>43346</v>
      </c>
      <c r="P27" s="11" t="str">
        <f>"000059"</f>
        <v>000059</v>
      </c>
      <c r="Q27" s="10">
        <v>43346</v>
      </c>
      <c r="R27" s="11">
        <v>18</v>
      </c>
      <c r="S27" s="11" t="str">
        <f>"006839"</f>
        <v>006839</v>
      </c>
      <c r="T27" s="10">
        <v>43389</v>
      </c>
      <c r="U27" s="14">
        <v>24.991790000000002</v>
      </c>
      <c r="V27" s="14">
        <v>2.64913</v>
      </c>
      <c r="W27" s="14">
        <v>22.342659999999999</v>
      </c>
      <c r="X27" s="11">
        <v>245</v>
      </c>
      <c r="Y27" s="10">
        <v>43390</v>
      </c>
      <c r="Z27" s="11">
        <v>0</v>
      </c>
      <c r="AA27" s="12" t="s">
        <v>130</v>
      </c>
      <c r="AB27" s="11" t="s">
        <v>126</v>
      </c>
      <c r="AC27" s="12" t="s">
        <v>127</v>
      </c>
      <c r="AD27" s="11" t="s">
        <v>92</v>
      </c>
      <c r="AE27" s="12" t="s">
        <v>93</v>
      </c>
      <c r="AF27" s="14">
        <f t="shared" si="0"/>
        <v>0.24991790000000003</v>
      </c>
      <c r="AG27" s="11" t="s">
        <v>83</v>
      </c>
    </row>
    <row r="28" spans="1:33" x14ac:dyDescent="0.2">
      <c r="A28" s="8">
        <v>7257</v>
      </c>
      <c r="B28" s="9" t="s">
        <v>131</v>
      </c>
      <c r="C28" s="10">
        <v>43420</v>
      </c>
      <c r="D28" s="11">
        <v>148</v>
      </c>
      <c r="E28" s="12" t="s">
        <v>34</v>
      </c>
      <c r="F28" s="12" t="s">
        <v>35</v>
      </c>
      <c r="G28" s="12" t="s">
        <v>36</v>
      </c>
      <c r="H28" s="12" t="s">
        <v>37</v>
      </c>
      <c r="I28" s="11" t="s">
        <v>132</v>
      </c>
      <c r="J28" s="12" t="s">
        <v>133</v>
      </c>
      <c r="K28" s="13" t="s">
        <v>69</v>
      </c>
      <c r="L28" s="11" t="str">
        <f>"000253"</f>
        <v>000253</v>
      </c>
      <c r="M28" s="10">
        <v>43372</v>
      </c>
      <c r="N28" s="11" t="str">
        <f>"000089"</f>
        <v>000089</v>
      </c>
      <c r="O28" s="10">
        <v>43372</v>
      </c>
      <c r="P28" s="11" t="str">
        <f>"000143"</f>
        <v>000143</v>
      </c>
      <c r="Q28" s="10">
        <v>43372</v>
      </c>
      <c r="R28" s="11">
        <v>18</v>
      </c>
      <c r="S28" s="11" t="str">
        <f>"007339"</f>
        <v>007339</v>
      </c>
      <c r="T28" s="10">
        <v>43418</v>
      </c>
      <c r="U28" s="14">
        <v>18.835899999999999</v>
      </c>
      <c r="V28" s="14">
        <v>1.81403</v>
      </c>
      <c r="W28" s="14">
        <v>17.02187</v>
      </c>
      <c r="X28" s="11">
        <v>265</v>
      </c>
      <c r="Y28" s="10">
        <v>43420</v>
      </c>
      <c r="Z28" s="11">
        <v>9449975968</v>
      </c>
      <c r="AA28" s="12" t="s">
        <v>134</v>
      </c>
      <c r="AB28" s="11" t="s">
        <v>135</v>
      </c>
      <c r="AC28" s="12" t="s">
        <v>136</v>
      </c>
      <c r="AD28" s="11" t="s">
        <v>44</v>
      </c>
      <c r="AE28" s="12" t="s">
        <v>45</v>
      </c>
      <c r="AF28" s="14">
        <f t="shared" si="0"/>
        <v>0.188359</v>
      </c>
      <c r="AG28" s="11" t="s">
        <v>83</v>
      </c>
    </row>
    <row r="29" spans="1:33" x14ac:dyDescent="0.2">
      <c r="A29" s="8">
        <v>7395</v>
      </c>
      <c r="B29" s="9" t="s">
        <v>131</v>
      </c>
      <c r="C29" s="10">
        <v>43427</v>
      </c>
      <c r="D29" s="11">
        <v>148</v>
      </c>
      <c r="E29" s="12" t="s">
        <v>34</v>
      </c>
      <c r="F29" s="12" t="s">
        <v>35</v>
      </c>
      <c r="G29" s="12" t="s">
        <v>36</v>
      </c>
      <c r="H29" s="12" t="s">
        <v>37</v>
      </c>
      <c r="I29" s="11" t="s">
        <v>137</v>
      </c>
      <c r="J29" s="12" t="s">
        <v>138</v>
      </c>
      <c r="K29" s="13" t="s">
        <v>40</v>
      </c>
      <c r="L29" s="11" t="str">
        <f>"000266"</f>
        <v>000266</v>
      </c>
      <c r="M29" s="10">
        <v>43376</v>
      </c>
      <c r="N29" s="11" t="str">
        <f>"000110"</f>
        <v>000110</v>
      </c>
      <c r="O29" s="10">
        <v>43399</v>
      </c>
      <c r="P29" s="11" t="str">
        <f>"000171"</f>
        <v>000171</v>
      </c>
      <c r="Q29" s="10">
        <v>43404</v>
      </c>
      <c r="R29" s="11">
        <v>18</v>
      </c>
      <c r="S29" s="11" t="str">
        <f>"007537"</f>
        <v>007537</v>
      </c>
      <c r="T29" s="10">
        <v>43426</v>
      </c>
      <c r="U29" s="14">
        <v>8.4697999999999993</v>
      </c>
      <c r="V29" s="14">
        <v>0.83257000000000003</v>
      </c>
      <c r="W29" s="14">
        <v>7.6372299999999997</v>
      </c>
      <c r="X29" s="11">
        <v>272</v>
      </c>
      <c r="Y29" s="10">
        <v>43427</v>
      </c>
      <c r="Z29" s="11">
        <v>9538205626</v>
      </c>
      <c r="AA29" s="12" t="s">
        <v>139</v>
      </c>
      <c r="AB29" s="11" t="s">
        <v>140</v>
      </c>
      <c r="AC29" s="12" t="s">
        <v>141</v>
      </c>
      <c r="AD29" s="11" t="s">
        <v>44</v>
      </c>
      <c r="AE29" s="12" t="s">
        <v>45</v>
      </c>
      <c r="AF29" s="14">
        <f t="shared" si="0"/>
        <v>8.4697999999999996E-2</v>
      </c>
      <c r="AG29" s="11" t="s">
        <v>83</v>
      </c>
    </row>
    <row r="30" spans="1:33" x14ac:dyDescent="0.2">
      <c r="A30" s="8">
        <v>7441</v>
      </c>
      <c r="B30" s="9" t="s">
        <v>131</v>
      </c>
      <c r="C30" s="10">
        <v>43432</v>
      </c>
      <c r="D30" s="11">
        <v>148</v>
      </c>
      <c r="E30" s="12" t="s">
        <v>34</v>
      </c>
      <c r="F30" s="12" t="s">
        <v>35</v>
      </c>
      <c r="G30" s="12" t="s">
        <v>36</v>
      </c>
      <c r="H30" s="12" t="s">
        <v>37</v>
      </c>
      <c r="I30" s="11" t="s">
        <v>142</v>
      </c>
      <c r="J30" s="12" t="s">
        <v>143</v>
      </c>
      <c r="K30" s="13" t="s">
        <v>57</v>
      </c>
      <c r="L30" s="11" t="str">
        <f>"000233"</f>
        <v>000233</v>
      </c>
      <c r="M30" s="10">
        <v>43353</v>
      </c>
      <c r="N30" s="11" t="str">
        <f>"000083"</f>
        <v>000083</v>
      </c>
      <c r="O30" s="10">
        <v>43354</v>
      </c>
      <c r="P30" s="11" t="str">
        <f>"000170"</f>
        <v>000170</v>
      </c>
      <c r="Q30" s="10">
        <v>43396</v>
      </c>
      <c r="R30" s="11">
        <v>18</v>
      </c>
      <c r="S30" s="11" t="str">
        <f>"007627"</f>
        <v>007627</v>
      </c>
      <c r="T30" s="10">
        <v>43432</v>
      </c>
      <c r="U30" s="14">
        <v>85.263869999999997</v>
      </c>
      <c r="V30" s="14">
        <v>10.81657</v>
      </c>
      <c r="W30" s="14">
        <v>74.447299999999998</v>
      </c>
      <c r="X30" s="11">
        <v>277</v>
      </c>
      <c r="Y30" s="10">
        <v>43432</v>
      </c>
      <c r="Z30" s="11">
        <v>9443207241</v>
      </c>
      <c r="AA30" s="12" t="s">
        <v>80</v>
      </c>
      <c r="AB30" s="11" t="s">
        <v>81</v>
      </c>
      <c r="AC30" s="12" t="s">
        <v>82</v>
      </c>
      <c r="AD30" s="11" t="s">
        <v>44</v>
      </c>
      <c r="AE30" s="12" t="s">
        <v>45</v>
      </c>
      <c r="AF30" s="14">
        <f t="shared" si="0"/>
        <v>0.85263869999999997</v>
      </c>
      <c r="AG30" s="11" t="s">
        <v>83</v>
      </c>
    </row>
    <row r="31" spans="1:33" x14ac:dyDescent="0.2">
      <c r="A31" s="8">
        <v>7924</v>
      </c>
      <c r="B31" s="9" t="s">
        <v>144</v>
      </c>
      <c r="C31" s="10">
        <v>43454</v>
      </c>
      <c r="D31" s="11">
        <v>148</v>
      </c>
      <c r="E31" s="12" t="s">
        <v>34</v>
      </c>
      <c r="F31" s="12" t="s">
        <v>35</v>
      </c>
      <c r="G31" s="12" t="s">
        <v>36</v>
      </c>
      <c r="H31" s="12" t="s">
        <v>37</v>
      </c>
      <c r="I31" s="11" t="s">
        <v>145</v>
      </c>
      <c r="J31" s="12" t="s">
        <v>146</v>
      </c>
      <c r="K31" s="13" t="s">
        <v>119</v>
      </c>
      <c r="L31" s="11" t="str">
        <f>"000173"</f>
        <v>000173</v>
      </c>
      <c r="M31" s="10">
        <v>43158</v>
      </c>
      <c r="N31" s="11" t="str">
        <f>"000077"</f>
        <v>000077</v>
      </c>
      <c r="O31" s="10">
        <v>43159</v>
      </c>
      <c r="P31" s="11" t="str">
        <f>"000163"</f>
        <v>000163</v>
      </c>
      <c r="Q31" s="10">
        <v>43165</v>
      </c>
      <c r="R31" s="11">
        <v>13</v>
      </c>
      <c r="S31" s="11" t="str">
        <f>"008002"</f>
        <v>008002</v>
      </c>
      <c r="T31" s="10">
        <v>43448</v>
      </c>
      <c r="U31" s="14">
        <v>10.79589</v>
      </c>
      <c r="V31" s="14">
        <v>1.0024299999999999</v>
      </c>
      <c r="W31" s="14">
        <v>9.7934599999999996</v>
      </c>
      <c r="X31" s="11">
        <v>298</v>
      </c>
      <c r="Y31" s="10">
        <v>43454</v>
      </c>
      <c r="Z31" s="11">
        <v>9008338330</v>
      </c>
      <c r="AA31" s="12" t="s">
        <v>147</v>
      </c>
      <c r="AB31" s="11" t="s">
        <v>148</v>
      </c>
      <c r="AC31" s="12" t="s">
        <v>149</v>
      </c>
      <c r="AD31" s="11" t="s">
        <v>44</v>
      </c>
      <c r="AE31" s="12" t="s">
        <v>45</v>
      </c>
      <c r="AF31" s="14">
        <f t="shared" si="0"/>
        <v>0.1079589</v>
      </c>
      <c r="AG31" s="11" t="s">
        <v>46</v>
      </c>
    </row>
    <row r="32" spans="1:33" x14ac:dyDescent="0.2">
      <c r="A32" s="8">
        <v>8315</v>
      </c>
      <c r="B32" s="9" t="s">
        <v>150</v>
      </c>
      <c r="C32" s="10">
        <v>43467</v>
      </c>
      <c r="D32" s="11">
        <v>148</v>
      </c>
      <c r="E32" s="12" t="s">
        <v>34</v>
      </c>
      <c r="F32" s="12" t="s">
        <v>35</v>
      </c>
      <c r="G32" s="12" t="s">
        <v>36</v>
      </c>
      <c r="H32" s="12" t="s">
        <v>37</v>
      </c>
      <c r="I32" s="11" t="s">
        <v>151</v>
      </c>
      <c r="J32" s="12" t="s">
        <v>152</v>
      </c>
      <c r="K32" s="13" t="s">
        <v>69</v>
      </c>
      <c r="L32" s="11" t="str">
        <f>"000143"</f>
        <v>000143</v>
      </c>
      <c r="M32" s="10">
        <v>43137</v>
      </c>
      <c r="N32" s="11" t="str">
        <f>"000076"</f>
        <v>000076</v>
      </c>
      <c r="O32" s="10">
        <v>43159</v>
      </c>
      <c r="P32" s="11" t="str">
        <f>"000159"</f>
        <v>000159</v>
      </c>
      <c r="Q32" s="10">
        <v>43165</v>
      </c>
      <c r="R32" s="11"/>
      <c r="S32" s="11" t="str">
        <f>"008193"</f>
        <v>008193</v>
      </c>
      <c r="T32" s="10">
        <v>43455</v>
      </c>
      <c r="U32" s="14">
        <v>28.31907</v>
      </c>
      <c r="V32" s="14">
        <v>2.7770199999999998</v>
      </c>
      <c r="W32" s="14">
        <v>25.54205</v>
      </c>
      <c r="X32" s="11">
        <v>310</v>
      </c>
      <c r="Y32" s="10">
        <v>43467</v>
      </c>
      <c r="Z32" s="11">
        <v>9980180564</v>
      </c>
      <c r="AA32" s="12" t="s">
        <v>153</v>
      </c>
      <c r="AB32" s="11" t="s">
        <v>59</v>
      </c>
      <c r="AC32" s="12" t="s">
        <v>60</v>
      </c>
      <c r="AD32" s="11" t="s">
        <v>44</v>
      </c>
      <c r="AE32" s="12" t="s">
        <v>45</v>
      </c>
      <c r="AF32" s="14">
        <f t="shared" si="0"/>
        <v>0.28319070000000002</v>
      </c>
      <c r="AG32" s="11" t="s">
        <v>46</v>
      </c>
    </row>
    <row r="33" spans="1:33" x14ac:dyDescent="0.2">
      <c r="A33" s="8">
        <v>8449</v>
      </c>
      <c r="B33" s="9" t="s">
        <v>150</v>
      </c>
      <c r="C33" s="10">
        <v>43472</v>
      </c>
      <c r="D33" s="11">
        <v>148</v>
      </c>
      <c r="E33" s="12" t="s">
        <v>34</v>
      </c>
      <c r="F33" s="12" t="s">
        <v>35</v>
      </c>
      <c r="G33" s="12" t="s">
        <v>36</v>
      </c>
      <c r="H33" s="12" t="s">
        <v>37</v>
      </c>
      <c r="I33" s="11" t="s">
        <v>154</v>
      </c>
      <c r="J33" s="12" t="s">
        <v>155</v>
      </c>
      <c r="K33" s="13" t="s">
        <v>49</v>
      </c>
      <c r="L33" s="11" t="str">
        <f>"000269"</f>
        <v>000269</v>
      </c>
      <c r="M33" s="10">
        <v>43385</v>
      </c>
      <c r="N33" s="11" t="str">
        <f>"000102"</f>
        <v>000102</v>
      </c>
      <c r="O33" s="10">
        <v>43385</v>
      </c>
      <c r="P33" s="11" t="str">
        <f>"000161"</f>
        <v>000161</v>
      </c>
      <c r="Q33" s="10">
        <v>43388</v>
      </c>
      <c r="R33" s="11"/>
      <c r="S33" s="11" t="str">
        <f>"008579"</f>
        <v>008579</v>
      </c>
      <c r="T33" s="10">
        <v>43470</v>
      </c>
      <c r="U33" s="14">
        <v>29</v>
      </c>
      <c r="V33" s="14">
        <v>2.73929</v>
      </c>
      <c r="W33" s="14">
        <v>26.26071</v>
      </c>
      <c r="X33" s="11">
        <v>316</v>
      </c>
      <c r="Y33" s="10">
        <v>43472</v>
      </c>
      <c r="Z33" s="11">
        <v>9916997189</v>
      </c>
      <c r="AA33" s="12" t="s">
        <v>80</v>
      </c>
      <c r="AB33" s="11" t="s">
        <v>156</v>
      </c>
      <c r="AC33" s="12" t="s">
        <v>157</v>
      </c>
      <c r="AD33" s="11" t="s">
        <v>44</v>
      </c>
      <c r="AE33" s="12" t="s">
        <v>45</v>
      </c>
      <c r="AF33" s="14">
        <f t="shared" si="0"/>
        <v>0.28999999999999998</v>
      </c>
      <c r="AG33" s="11" t="s">
        <v>83</v>
      </c>
    </row>
    <row r="34" spans="1:33" x14ac:dyDescent="0.2">
      <c r="A34" s="8">
        <v>9269</v>
      </c>
      <c r="B34" s="9" t="s">
        <v>158</v>
      </c>
      <c r="C34" s="10">
        <v>43521</v>
      </c>
      <c r="D34" s="11">
        <v>148</v>
      </c>
      <c r="E34" s="12" t="s">
        <v>34</v>
      </c>
      <c r="F34" s="12" t="s">
        <v>35</v>
      </c>
      <c r="G34" s="12" t="s">
        <v>36</v>
      </c>
      <c r="H34" s="12" t="s">
        <v>37</v>
      </c>
      <c r="I34" s="11" t="s">
        <v>159</v>
      </c>
      <c r="J34" s="12" t="s">
        <v>160</v>
      </c>
      <c r="K34" s="13" t="s">
        <v>40</v>
      </c>
      <c r="L34" s="11" t="str">
        <f>"000133"</f>
        <v>000133</v>
      </c>
      <c r="M34" s="10">
        <v>43092</v>
      </c>
      <c r="N34" s="11" t="str">
        <f>"000089"</f>
        <v>000089</v>
      </c>
      <c r="O34" s="10">
        <v>43092</v>
      </c>
      <c r="P34" s="11" t="str">
        <f>"000079"</f>
        <v>000079</v>
      </c>
      <c r="Q34" s="10">
        <v>43098</v>
      </c>
      <c r="R34" s="11"/>
      <c r="S34" s="11" t="str">
        <f>"009292"</f>
        <v>009292</v>
      </c>
      <c r="T34" s="10">
        <v>43515</v>
      </c>
      <c r="U34" s="14">
        <v>32.662730000000003</v>
      </c>
      <c r="V34" s="14">
        <v>1.6657900000000001</v>
      </c>
      <c r="W34" s="14">
        <v>30.996939999999999</v>
      </c>
      <c r="X34" s="11">
        <v>358</v>
      </c>
      <c r="Y34" s="10">
        <v>43521</v>
      </c>
      <c r="Z34" s="11">
        <v>0</v>
      </c>
      <c r="AA34" s="12" t="s">
        <v>161</v>
      </c>
      <c r="AB34" s="11" t="s">
        <v>162</v>
      </c>
      <c r="AC34" s="12" t="s">
        <v>163</v>
      </c>
      <c r="AD34" s="11" t="s">
        <v>92</v>
      </c>
      <c r="AE34" s="12" t="s">
        <v>93</v>
      </c>
      <c r="AF34" s="14">
        <f t="shared" si="0"/>
        <v>0.32662730000000001</v>
      </c>
      <c r="AG34" s="11" t="s">
        <v>46</v>
      </c>
    </row>
    <row r="35" spans="1:33" x14ac:dyDescent="0.2">
      <c r="A35" s="8">
        <v>9517</v>
      </c>
      <c r="B35" s="9" t="s">
        <v>164</v>
      </c>
      <c r="C35" s="10">
        <v>43531</v>
      </c>
      <c r="D35" s="11">
        <v>148</v>
      </c>
      <c r="E35" s="12" t="s">
        <v>34</v>
      </c>
      <c r="F35" s="12" t="s">
        <v>35</v>
      </c>
      <c r="G35" s="12" t="s">
        <v>36</v>
      </c>
      <c r="H35" s="12" t="s">
        <v>37</v>
      </c>
      <c r="I35" s="11" t="s">
        <v>165</v>
      </c>
      <c r="J35" s="12" t="s">
        <v>166</v>
      </c>
      <c r="K35" s="13" t="s">
        <v>49</v>
      </c>
      <c r="L35" s="11" t="str">
        <f>"000272"</f>
        <v>000272</v>
      </c>
      <c r="M35" s="10">
        <v>43389</v>
      </c>
      <c r="N35" s="11" t="str">
        <f>"000132"</f>
        <v>000132</v>
      </c>
      <c r="O35" s="10">
        <v>43498</v>
      </c>
      <c r="P35" s="11" t="str">
        <f>"000221"</f>
        <v>000221</v>
      </c>
      <c r="Q35" s="10">
        <v>43503</v>
      </c>
      <c r="R35" s="11"/>
      <c r="S35" s="11" t="str">
        <f>"009629"</f>
        <v>009629</v>
      </c>
      <c r="T35" s="10">
        <v>43529</v>
      </c>
      <c r="U35" s="14">
        <v>10.418010000000001</v>
      </c>
      <c r="V35" s="14">
        <v>1.1256900000000001</v>
      </c>
      <c r="W35" s="14">
        <v>9.2923200000000001</v>
      </c>
      <c r="X35" s="11">
        <v>369</v>
      </c>
      <c r="Y35" s="10">
        <v>43531</v>
      </c>
      <c r="Z35" s="11">
        <v>9449975968</v>
      </c>
      <c r="AA35" s="12" t="s">
        <v>167</v>
      </c>
      <c r="AB35" s="11" t="s">
        <v>156</v>
      </c>
      <c r="AC35" s="12" t="s">
        <v>157</v>
      </c>
      <c r="AD35" s="11" t="s">
        <v>44</v>
      </c>
      <c r="AE35" s="12" t="s">
        <v>45</v>
      </c>
      <c r="AF35" s="14">
        <f t="shared" si="0"/>
        <v>0.10418010000000001</v>
      </c>
      <c r="AG35" s="11" t="s">
        <v>83</v>
      </c>
    </row>
    <row r="36" spans="1:33" x14ac:dyDescent="0.2">
      <c r="A36" s="8">
        <v>9923</v>
      </c>
      <c r="B36" s="9" t="s">
        <v>164</v>
      </c>
      <c r="C36" s="10">
        <v>43552</v>
      </c>
      <c r="D36" s="11">
        <v>148</v>
      </c>
      <c r="E36" s="12" t="s">
        <v>34</v>
      </c>
      <c r="F36" s="12" t="s">
        <v>35</v>
      </c>
      <c r="G36" s="12" t="s">
        <v>36</v>
      </c>
      <c r="H36" s="12" t="s">
        <v>37</v>
      </c>
      <c r="I36" s="11" t="s">
        <v>168</v>
      </c>
      <c r="J36" s="12" t="s">
        <v>169</v>
      </c>
      <c r="K36" s="13" t="s">
        <v>57</v>
      </c>
      <c r="L36" s="11" t="str">
        <f>"00087."</f>
        <v>00087.</v>
      </c>
      <c r="M36" s="10">
        <v>42855</v>
      </c>
      <c r="N36" s="11" t="str">
        <f>"000065"</f>
        <v>000065</v>
      </c>
      <c r="O36" s="10">
        <v>42916</v>
      </c>
      <c r="P36" s="11" t="str">
        <f>"000167"</f>
        <v>000167</v>
      </c>
      <c r="Q36" s="10">
        <v>42916</v>
      </c>
      <c r="R36" s="11"/>
      <c r="S36" s="11" t="str">
        <f>"009929"</f>
        <v>009929</v>
      </c>
      <c r="T36" s="10">
        <v>43549</v>
      </c>
      <c r="U36" s="14">
        <v>15.692</v>
      </c>
      <c r="V36" s="14">
        <v>1.9533100000000001</v>
      </c>
      <c r="W36" s="14">
        <v>13.73869</v>
      </c>
      <c r="X36" s="11">
        <v>388</v>
      </c>
      <c r="Y36" s="10">
        <v>43552</v>
      </c>
      <c r="Z36" s="11">
        <v>9916364289</v>
      </c>
      <c r="AA36" s="12" t="s">
        <v>170</v>
      </c>
      <c r="AB36" s="11" t="s">
        <v>59</v>
      </c>
      <c r="AC36" s="12" t="s">
        <v>60</v>
      </c>
      <c r="AD36" s="11" t="s">
        <v>44</v>
      </c>
      <c r="AE36" s="12" t="s">
        <v>45</v>
      </c>
      <c r="AF36" s="14">
        <f t="shared" si="0"/>
        <v>0.15692</v>
      </c>
      <c r="AG36" s="11" t="s">
        <v>46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2019-06-13T11:57:27Z</dcterms:modified>
</cp:coreProperties>
</file>