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3" i="1" l="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<sst xmlns="http://schemas.openxmlformats.org/spreadsheetml/2006/main" count="762" uniqueCount="220">
  <si>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</si>
  <si>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</si>
  <si>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</si>
  <si>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</si>
  <si>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</si>
  <si>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</si>
  <si>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</si>
  <si>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</si>
  <si>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</si>
  <si>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</si>
  <si>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</si>
  <si>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</si>
  <si>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</si>
  <si>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</si>
  <si>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</si>
  <si>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</si>
  <si>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</si>
  <si>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</si>
  <si>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</si>
  <si>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</si>
  <si>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</si>
  <si>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</si>
  <si>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</si>
  <si>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</si>
  <si>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</si>
  <si>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</si>
  <si>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</si>
  <si>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</si>
  <si>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</si>
  <si>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</si>
  <si>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</si>
  <si>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</si>
  <si>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</si>
  <si>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</si>
  <si>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T Dasara Halli</t>
  </si>
  <si>
    <t>Dasara Halli</t>
  </si>
  <si>
    <t>015-16-000002</t>
  </si>
  <si>
    <t>Construction of Culvert near Eagle bakery Ganesha Saw Mill road in Dasarahalli Ward No. 15</t>
  </si>
  <si>
    <t>Roads &amp; Drivablility</t>
  </si>
  <si>
    <t>SM EREGOWDA</t>
  </si>
  <si>
    <t>P1771</t>
  </si>
  <si>
    <t>Zone Works - POW Works</t>
  </si>
  <si>
    <t>ddo023</t>
  </si>
  <si>
    <t xml:space="preserve"> Assistant Executive Engineer Dasarahalli SubDiv</t>
  </si>
  <si>
    <t>Pending</t>
  </si>
  <si>
    <t>015-15-000004</t>
  </si>
  <si>
    <t>Improvements and construction of CC road and drain and RCC Culverts at Coconut Garden Sharada School roadd 2nd, 3rd, 4th and 5th cross road in Dasarahalli ward no. 15.</t>
  </si>
  <si>
    <t>A Pradeep</t>
  </si>
  <si>
    <t>015-15-000010</t>
  </si>
  <si>
    <t>Improvements and construction of CC road and drain at Officers Model Colony Government school parallel road and 1st cross road in Dasarahalli ward no. 15.</t>
  </si>
  <si>
    <t>015-15-000008</t>
  </si>
  <si>
    <t>Improvements and construction of CC road and drain at Krishne gowda Layout Sujatha tent parallel road and Sri.Ranga School road in Dasarahalli ward no. 15.</t>
  </si>
  <si>
    <t>N R Mahesh</t>
  </si>
  <si>
    <t>015-15-000005</t>
  </si>
  <si>
    <t>Improvements and construction of CC road and drain and RCC Culverts near Chikkegowda house 6th and 7th cross and parallel roads MTS colony in Dasarahalli ward no. 15.</t>
  </si>
  <si>
    <t>B N Mohan Kumar  Nanjappa</t>
  </si>
  <si>
    <t>015-15-000014</t>
  </si>
  <si>
    <t>Improvements and construction of CC road, drain and RCC Culverts at KK road Old Masidi surroundings in Dasarahalli ward no. 15.</t>
  </si>
  <si>
    <t>015-16-000012</t>
  </si>
  <si>
    <t>Improvements to prayer ground of government high school near kalasthinagara in Dasarahalli ward no. 15</t>
  </si>
  <si>
    <t>Other Ward Works</t>
  </si>
  <si>
    <t>N Shivananda</t>
  </si>
  <si>
    <t>015-16-000007</t>
  </si>
  <si>
    <t>Improvements and Construction of CC road from Dharmastala Hotel Via Coconut Garden Chaplamma Circle to Basavanna temple in Dasarahalli Ward No. 15</t>
  </si>
  <si>
    <t>RAJSHEKAR M</t>
  </si>
  <si>
    <t>015-16-000003</t>
  </si>
  <si>
    <t>Improvements and Construction of CC road and drain at Old Maheshwari temple road in Dasarahalli ward No. 15</t>
  </si>
  <si>
    <t>May</t>
  </si>
  <si>
    <t>015-15-000018</t>
  </si>
  <si>
    <t>Reserve fund for Emergency works in Dasarahalli ward no. 15 (improvements to Prayer ground to Govt.High School near Kalasthinagara in ward no 15)</t>
  </si>
  <si>
    <t>KRIDL</t>
  </si>
  <si>
    <t>June</t>
  </si>
  <si>
    <t>015-18-000004</t>
  </si>
  <si>
    <t>Improvements to RCC Drain and Covering slab at Kalashrinagara Main road and cross roads near Kaliyamma temple in ward no 15 T.Dasarahalli</t>
  </si>
  <si>
    <t>Footpaths &amp; Walkability</t>
  </si>
  <si>
    <t>P1878</t>
  </si>
  <si>
    <t>18per - Works (Bhagyajyothi, Sooru / Neeru Yojane and General) (54 Lakhs / New Wards)</t>
  </si>
  <si>
    <t>Spill Over</t>
  </si>
  <si>
    <t>015-18-000005</t>
  </si>
  <si>
    <t>Improvements to RCC Drain and Covering slab at Kalashrinagara cross roads 3rd, 4th, 5th,6th in ward no 15 T.Dasarahalli</t>
  </si>
  <si>
    <t>015-17-000033</t>
  </si>
  <si>
    <t>Providing CC Camera at Garbage Block Spots in ward no 15</t>
  </si>
  <si>
    <t>Crime &amp; Safety</t>
  </si>
  <si>
    <t>J Naveen</t>
  </si>
  <si>
    <t>P3110</t>
  </si>
  <si>
    <t>14th Finance Commission Grant Works</t>
  </si>
  <si>
    <t>015-17-000023</t>
  </si>
  <si>
    <t>Improvements and reasphalting road from NH4 to Nelamaheshwari temple road 2nd and 3rd Main Kempegowda nagara in Dasarahalli ward no. 15</t>
  </si>
  <si>
    <t>K T Ramesh</t>
  </si>
  <si>
    <t>P3089</t>
  </si>
  <si>
    <t>Special Development works in 7 CMC and 1 TMC area in BBMP</t>
  </si>
  <si>
    <t>015-17-000024</t>
  </si>
  <si>
    <t>Improvements and reasphalting road from HKR chowtri to Shiva temple road and 1st main Bhuvaneshwari Nagra in Dasarahalli ward no. 15</t>
  </si>
  <si>
    <t>015-17-000025</t>
  </si>
  <si>
    <t>Improvements and reasphlating road from 5th and 6th cross road kempegowda nagara and Ramachandra hospital road Bhuvaneshwari nagara in Dasarahalli ward no. 15</t>
  </si>
  <si>
    <t>015-17-000026</t>
  </si>
  <si>
    <t>Improvements and reasphalting road from 1st,2nd,3rd and 5th cross road Kempegowda nagaa in Dasarahalli ward no. 15</t>
  </si>
  <si>
    <t>015-15-000012</t>
  </si>
  <si>
    <t>Improvements and construction of CC road, drain and RCC Culverts at Dasarahalli Old village in Dasarahalli ward no. 15.</t>
  </si>
  <si>
    <t>HONNAPPA MURTHY</t>
  </si>
  <si>
    <t>July</t>
  </si>
  <si>
    <t>015-16-000015</t>
  </si>
  <si>
    <t>Ward Maintenance for Gang men, Tractor and JCB for Removing silt and debris in the drains road side burms in Dasarahalli ward No. 15</t>
  </si>
  <si>
    <t>Health &amp; Sanitation</t>
  </si>
  <si>
    <t>K. KRISHNASWAMY</t>
  </si>
  <si>
    <t>015-17-000031</t>
  </si>
  <si>
    <t>Engagement of Gangman and Hiring of Troctor Tippers for cleaning and maintenance of road side drains and other civil works in ward 15</t>
  </si>
  <si>
    <t>Sri Nagaraj Hosur</t>
  </si>
  <si>
    <t>015-16-000001</t>
  </si>
  <si>
    <t>Operation and Maintenance of stree light at Ward No.15 Dasarahalli Package D-5</t>
  </si>
  <si>
    <t>M/S RAJASHRRE ELECTIRCALS</t>
  </si>
  <si>
    <t>P0300</t>
  </si>
  <si>
    <t>M and R to Street Lights - Replacement of Burnt Bulbs etc. (Package)</t>
  </si>
  <si>
    <t>ddo466</t>
  </si>
  <si>
    <t xml:space="preserve"> Assistant Executive Engineer Electrical Dasarahalli Zone</t>
  </si>
  <si>
    <t>August</t>
  </si>
  <si>
    <t>015-15-000030</t>
  </si>
  <si>
    <t>Providing lighting system to pipeline park mallasandra, Ward No. 15.</t>
  </si>
  <si>
    <t>Trees, Parks &amp; Playgrounds</t>
  </si>
  <si>
    <t>THE TECHNICAL MANAGER-2(BBMP) KRIDL</t>
  </si>
  <si>
    <t>P0088</t>
  </si>
  <si>
    <t>Maintenance and Management of Parks on Contract</t>
  </si>
  <si>
    <t>015-17-000030</t>
  </si>
  <si>
    <t>Drilling of borewell in ward no15 in T.Dasarahalli sud division</t>
  </si>
  <si>
    <t>Water &amp; Sanitary</t>
  </si>
  <si>
    <t>P1802</t>
  </si>
  <si>
    <t>Water Supply New Areas</t>
  </si>
  <si>
    <t>015-16-000014</t>
  </si>
  <si>
    <t>Supply of Water through tanker in T.Dasarahalli Ward No. 15</t>
  </si>
  <si>
    <t>EREGOWDA SM</t>
  </si>
  <si>
    <t>015-16-000030</t>
  </si>
  <si>
    <t>Improvements and Construction of CC road Bhuvaneshwari Nagara 2nd and 3rd main 1st 2nd and 3rd cross road at ward no 15 Dasarahalli</t>
  </si>
  <si>
    <t>NAGARAJ HOSUR</t>
  </si>
  <si>
    <t>015-16-000031</t>
  </si>
  <si>
    <t>Improvements and Construction of CC road Bhuvaneshwari Nagara 5th main and 2nd 3rd and 4th cross and Shiva temple Front road at ward no 15 Dasarahalli</t>
  </si>
  <si>
    <t>September</t>
  </si>
  <si>
    <t>015-14-000025</t>
  </si>
  <si>
    <t>Ward Maintenance fro Gangmens and Tractor for 2nd Shift 2 PM to 10 PM Removing silt and debries in the drains road side in Dasarahalli ward no. 15</t>
  </si>
  <si>
    <t>JAYAMMA.K</t>
  </si>
  <si>
    <t>015-16-000028</t>
  </si>
  <si>
    <t>Improvements and Construction of CC road Jain temple 1st 2nd 3rd 4th and 5th cross roads MTS colony Main road at ward no 15 Dasarahalli</t>
  </si>
  <si>
    <t>GNANENDRA MURTHY MD</t>
  </si>
  <si>
    <t>015-16-000029</t>
  </si>
  <si>
    <t>Improvements and Construction of CC road and drainage work Bhuvaneshwari Nagara 1st main road and 1st 2nd 3rd 4th cross road and Muneshwara badavane Shivaraj House road and BAck side of the Market</t>
  </si>
  <si>
    <t>015-16-000032</t>
  </si>
  <si>
    <t>Improvements and Construction of CC road Kempegowda nagara 2nd and 3rd main road 4th 6th B and 6th C cross and North side of the Ganesha Saw-mill road and other cross roads at ward no 15 Dasarahalli</t>
  </si>
  <si>
    <t>GNANEDRAMURTHY MD</t>
  </si>
  <si>
    <t>015-14-000024</t>
  </si>
  <si>
    <t>Ward Maintenance fro Gangmens and Tractor for 1st Shift 6 AM to 2 PM Removing silt and debries in the drains road side in Dasarahalli ward no. 15</t>
  </si>
  <si>
    <t>JAYAMMA. K</t>
  </si>
  <si>
    <t>October</t>
  </si>
  <si>
    <t>015-17-000011</t>
  </si>
  <si>
    <t>Improvements and construction of Drainage works Maregowda road 2nd main Kempe gowda Nagara in Dasarahalli ward no 15 Dasarahalli Sub division</t>
  </si>
  <si>
    <t xml:space="preserve">M SUDEEP </t>
  </si>
  <si>
    <t>015-16-000033</t>
  </si>
  <si>
    <t>Improvements and construction of CC road Maheshwari and Dhaneshwari Nagara and B T Srinivas and Thammanna house roads roads and Chikka Anjinappa house road and other cross roads in ward no 15 Dasarahalli</t>
  </si>
  <si>
    <t>H MURTHY</t>
  </si>
  <si>
    <t>015-16-000004</t>
  </si>
  <si>
    <t>Improvements and Construction of CC road Church road at Bhuvaneshwari Nagara in Dasarahalli Ward No. 15</t>
  </si>
  <si>
    <t>K NAGARAJA</t>
  </si>
  <si>
    <t>November</t>
  </si>
  <si>
    <t>015-17-000016</t>
  </si>
  <si>
    <t>Providing street lights and fittings in Dasarahalli ward no 15 Dasarahalli Sub division</t>
  </si>
  <si>
    <t xml:space="preserve">M/s AAdithya Electricals </t>
  </si>
  <si>
    <t>015-17-000003</t>
  </si>
  <si>
    <t>Improvements and construction of CC Drains Back side of the Ayyappa Temple road in Dasarahalli ward no 15 Dasarahalli Sub division</t>
  </si>
  <si>
    <t>HEMANTHKUMAR S E</t>
  </si>
  <si>
    <t>December</t>
  </si>
  <si>
    <t>015-16-000036</t>
  </si>
  <si>
    <t xml:space="preserve">Construction of public toilet block near NH 1st main Kempgowda nagara storm water drain in ward 15 T Dasarahalli Zone </t>
  </si>
  <si>
    <t>Storm Water Drains</t>
  </si>
  <si>
    <t>Honnegowda KG</t>
  </si>
  <si>
    <t>015-17-000012</t>
  </si>
  <si>
    <t>Improvements and construction of Drainage works pipe line road in Dasarahalli ward no 15 Dasarahalli Sub division</t>
  </si>
  <si>
    <t>NAGARAJA HOSUR</t>
  </si>
  <si>
    <t>January</t>
  </si>
  <si>
    <t>015-17-000017</t>
  </si>
  <si>
    <t>Removal of Debris and Disilting of Drains in Dasarahalli ward no 15 Dasarahalli Sub division</t>
  </si>
  <si>
    <t>SHIVANANDA N</t>
  </si>
  <si>
    <t>February</t>
  </si>
  <si>
    <t>015-18-000030</t>
  </si>
  <si>
    <t xml:space="preserve">Providing approach road and protecting grill works to Indira Canteen in ward no.15 </t>
  </si>
  <si>
    <t>Indira Canteen</t>
  </si>
  <si>
    <t>Shreeramareddy</t>
  </si>
  <si>
    <t>P3106</t>
  </si>
  <si>
    <t>Nagarothana Works</t>
  </si>
  <si>
    <t>Current</t>
  </si>
  <si>
    <t>015-17-000010</t>
  </si>
  <si>
    <t>Improvements and construction of Drainage works old post offcie road in Dasarahalli ward no 15 Dasarahalli Sub division</t>
  </si>
  <si>
    <t>RAMACHANDRA</t>
  </si>
  <si>
    <t>015-17-000018</t>
  </si>
  <si>
    <t>Reserve fund for Emergency works in Dasarahalli ward no 15 Dasarahalli Sub division (Providing pothole filling of CC roads and De-silting of Kempegowda nagara 5th cross and Other cross roads in T.Dasarahalli in Ward no. 15)</t>
  </si>
  <si>
    <t>Eregowda S M</t>
  </si>
  <si>
    <t>March</t>
  </si>
  <si>
    <t>015-18-000029</t>
  </si>
  <si>
    <t xml:space="preserve">Providing CC retaning wall at NH service road SSM retaning wall at near Metro station in ward no.15 </t>
  </si>
  <si>
    <t>015-17-000002</t>
  </si>
  <si>
    <t>Filling of pot holes main and cross roads in Dasarahalli ward no 15 Dasarahalli Sub division</t>
  </si>
  <si>
    <t>RAMESH GN</t>
  </si>
  <si>
    <t>015-16-000010</t>
  </si>
  <si>
    <t>Providing and Asphalting to Pot holes fillin and Road Cuttings in Dasarahalli Ward No. 15</t>
  </si>
  <si>
    <t>015-18-000028</t>
  </si>
  <si>
    <t xml:space="preserve">Constrution of Embackment and site preparation to Indira Canteen in ward no.15 </t>
  </si>
  <si>
    <t>015-16-000009</t>
  </si>
  <si>
    <t>Improvements and providing Name Boards and Stickers in Dasarahalli Ward No. 15</t>
  </si>
  <si>
    <t>17-</t>
  </si>
  <si>
    <t>RAJENDRA M</t>
  </si>
  <si>
    <t>015-17-000008</t>
  </si>
  <si>
    <t>Improvements and construction of CC roads from Kempegowda Nagara 1st 2nd 3rd main and SM road Nrupatunga road Masidi road Bharathi Takies road and others road link to NH 4 road in Dasarahalli ward no 15 Dasarahalli Sub division</t>
  </si>
  <si>
    <t>N SHIVANANDA</t>
  </si>
  <si>
    <t>015-17-000013</t>
  </si>
  <si>
    <t>Improvements and constructionCC Drainage works back side of St marys school 1st cross in Dasarahalli ward no 15 Dasarahalli Sub division</t>
  </si>
  <si>
    <t xml:space="preserve">PAVANKUMAR </t>
  </si>
  <si>
    <t>015-17-000015</t>
  </si>
  <si>
    <t>Providing covering slab to drainage KK road in Dasarahalli ward no 15 Dasarahalli Sub division</t>
  </si>
  <si>
    <t>N THIPPESWAMY</t>
  </si>
  <si>
    <t>015-17-000009</t>
  </si>
  <si>
    <t>Improvements and construction of CC roads Sharada high school road near Coconut Garden in Dasarahalli ward no 15 Dasarahalli Sub division</t>
  </si>
  <si>
    <t>015-17-000014</t>
  </si>
  <si>
    <t>Providing and construction of CC road near Eagle Bakery back side Dhaneshwari nagara in Dasarahalli ward no 15 Dasarahalli Sub division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</si>
</sst>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tabSelected="1" workbookViewId="0">
      <pane ySplit="1" topLeftCell="A2" activePane="bottomLeft" state="frozen"/>
      <selection activeCell="H1" sqref="H1"/>
      <selection pane="bottomLeft" activeCell="C8" sqref="C8"/>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336</v>
      </c>
      <c r="B2" s="9" t="s">
        <v>33</v>
      </c>
      <c r="C2" s="10">
        <v>43200</v>
      </c>
      <c r="D2" s="11">
        <v>15</v>
      </c>
      <c r="E2" s="12" t="s">
        <v>34</v>
      </c>
      <c r="F2" s="12" t="s">
        <v>34</v>
      </c>
      <c r="G2" s="12" t="s">
        <v>35</v>
      </c>
      <c r="H2" s="12" t="s">
        <v>35</v>
      </c>
      <c r="I2" s="11" t="s">
        <v>36</v>
      </c>
      <c r="J2" s="12" t="s">
        <v>37</v>
      </c>
      <c r="K2" s="13" t="s">
        <v>38</v>
      </c>
      <c r="L2" s="11" t="str">
        <f>"000058"</f>
        <v>000058</v>
      </c>
      <c r="M2" s="10">
        <v>42453</v>
      </c>
      <c r="N2" s="11" t="str">
        <f>"000092"</f>
        <v>000092</v>
      </c>
      <c r="O2" s="10">
        <v>42580</v>
      </c>
      <c r="P2" s="11" t="str">
        <f>""</f>
        <v/>
      </c>
      <c r="Q2" s="10"/>
      <c r="R2" s="11">
        <v>16</v>
      </c>
      <c r="S2" s="11" t="str">
        <f>""</f>
        <v/>
      </c>
      <c r="T2" s="10"/>
      <c r="U2" s="14">
        <v>1.87513</v>
      </c>
      <c r="V2" s="14">
        <v>0.13791999999999999</v>
      </c>
      <c r="W2" s="14">
        <v>1.7372099999999999</v>
      </c>
      <c r="X2" s="11">
        <v>9</v>
      </c>
      <c r="Y2" s="10">
        <v>43200</v>
      </c>
      <c r="Z2" s="11">
        <v>8970389692</v>
      </c>
      <c r="AA2" s="12" t="s">
        <v>39</v>
      </c>
      <c r="AB2" s="11" t="s">
        <v>40</v>
      </c>
      <c r="AC2" s="12" t="s">
        <v>41</v>
      </c>
      <c r="AD2" s="11" t="s">
        <v>42</v>
      </c>
      <c r="AE2" s="12" t="s">
        <v>43</v>
      </c>
      <c r="AF2" s="14">
        <v>1.8751299999999999E-2</v>
      </c>
      <c r="AG2" s="11" t="s">
        <v>44</v>
      </c>
    </row>
    <row r="3" spans="1:33" x14ac:dyDescent="0.2">
      <c r="A3" s="8">
        <v>337</v>
      </c>
      <c r="B3" s="9" t="s">
        <v>33</v>
      </c>
      <c r="C3" s="10">
        <v>43200</v>
      </c>
      <c r="D3" s="11">
        <v>15</v>
      </c>
      <c r="E3" s="12" t="s">
        <v>34</v>
      </c>
      <c r="F3" s="12" t="s">
        <v>34</v>
      </c>
      <c r="G3" s="12" t="s">
        <v>35</v>
      </c>
      <c r="H3" s="12" t="s">
        <v>35</v>
      </c>
      <c r="I3" s="11" t="s">
        <v>45</v>
      </c>
      <c r="J3" s="12" t="s">
        <v>46</v>
      </c>
      <c r="K3" s="13" t="s">
        <v>38</v>
      </c>
      <c r="L3" s="11" t="str">
        <f>"000007"</f>
        <v>000007</v>
      </c>
      <c r="M3" s="10">
        <v>42109</v>
      </c>
      <c r="N3" s="11" t="str">
        <f>"000052"</f>
        <v>000052</v>
      </c>
      <c r="O3" s="10">
        <v>42546</v>
      </c>
      <c r="P3" s="11" t="str">
        <f>"000188"</f>
        <v>000188</v>
      </c>
      <c r="Q3" s="10">
        <v>42551</v>
      </c>
      <c r="R3" s="11">
        <v>15</v>
      </c>
      <c r="S3" s="11" t="str">
        <f>"011002"</f>
        <v>011002</v>
      </c>
      <c r="T3" s="10">
        <v>43187</v>
      </c>
      <c r="U3" s="14">
        <v>18.80048</v>
      </c>
      <c r="V3" s="14">
        <v>1.3447</v>
      </c>
      <c r="W3" s="14">
        <v>17.455780000000001</v>
      </c>
      <c r="X3" s="11">
        <v>9</v>
      </c>
      <c r="Y3" s="10">
        <v>43200</v>
      </c>
      <c r="Z3" s="11">
        <v>9456123321</v>
      </c>
      <c r="AA3" s="12" t="s">
        <v>47</v>
      </c>
      <c r="AB3" s="11" t="s">
        <v>40</v>
      </c>
      <c r="AC3" s="12" t="s">
        <v>41</v>
      </c>
      <c r="AD3" s="11" t="s">
        <v>42</v>
      </c>
      <c r="AE3" s="12" t="s">
        <v>43</v>
      </c>
      <c r="AF3" s="14">
        <v>0.1880048</v>
      </c>
      <c r="AG3" s="11" t="s">
        <v>44</v>
      </c>
    </row>
    <row r="4" spans="1:33" x14ac:dyDescent="0.2">
      <c r="A4" s="8">
        <v>338</v>
      </c>
      <c r="B4" s="9" t="s">
        <v>33</v>
      </c>
      <c r="C4" s="10">
        <v>43200</v>
      </c>
      <c r="D4" s="11">
        <v>15</v>
      </c>
      <c r="E4" s="12" t="s">
        <v>34</v>
      </c>
      <c r="F4" s="12" t="s">
        <v>34</v>
      </c>
      <c r="G4" s="12" t="s">
        <v>35</v>
      </c>
      <c r="H4" s="12" t="s">
        <v>35</v>
      </c>
      <c r="I4" s="11" t="s">
        <v>48</v>
      </c>
      <c r="J4" s="12" t="s">
        <v>49</v>
      </c>
      <c r="K4" s="13" t="s">
        <v>38</v>
      </c>
      <c r="L4" s="11" t="str">
        <f>"000008"</f>
        <v>000008</v>
      </c>
      <c r="M4" s="10">
        <v>42109</v>
      </c>
      <c r="N4" s="11" t="str">
        <f>"000054"</f>
        <v>000054</v>
      </c>
      <c r="O4" s="10">
        <v>42546</v>
      </c>
      <c r="P4" s="11" t="str">
        <f>"000186"</f>
        <v>000186</v>
      </c>
      <c r="Q4" s="10">
        <v>42551</v>
      </c>
      <c r="R4" s="11">
        <v>15</v>
      </c>
      <c r="S4" s="11" t="str">
        <f>"011003"</f>
        <v>011003</v>
      </c>
      <c r="T4" s="10">
        <v>43187</v>
      </c>
      <c r="U4" s="14">
        <v>18.58623</v>
      </c>
      <c r="V4" s="14">
        <v>1.3515600000000001</v>
      </c>
      <c r="W4" s="14">
        <v>17.234670000000001</v>
      </c>
      <c r="X4" s="11">
        <v>9</v>
      </c>
      <c r="Y4" s="10">
        <v>43200</v>
      </c>
      <c r="Z4" s="11">
        <v>9456123214</v>
      </c>
      <c r="AA4" s="12" t="s">
        <v>47</v>
      </c>
      <c r="AB4" s="11" t="s">
        <v>40</v>
      </c>
      <c r="AC4" s="12" t="s">
        <v>41</v>
      </c>
      <c r="AD4" s="11" t="s">
        <v>42</v>
      </c>
      <c r="AE4" s="12" t="s">
        <v>43</v>
      </c>
      <c r="AF4" s="14">
        <v>0.18586230000000001</v>
      </c>
      <c r="AG4" s="11" t="s">
        <v>44</v>
      </c>
    </row>
    <row r="5" spans="1:33" x14ac:dyDescent="0.2">
      <c r="A5" s="8">
        <v>339</v>
      </c>
      <c r="B5" s="9" t="s">
        <v>33</v>
      </c>
      <c r="C5" s="10">
        <v>43200</v>
      </c>
      <c r="D5" s="11">
        <v>15</v>
      </c>
      <c r="E5" s="12" t="s">
        <v>34</v>
      </c>
      <c r="F5" s="12" t="s">
        <v>34</v>
      </c>
      <c r="G5" s="12" t="s">
        <v>35</v>
      </c>
      <c r="H5" s="12" t="s">
        <v>35</v>
      </c>
      <c r="I5" s="11" t="s">
        <v>50</v>
      </c>
      <c r="J5" s="12" t="s">
        <v>51</v>
      </c>
      <c r="K5" s="13" t="s">
        <v>38</v>
      </c>
      <c r="L5" s="11" t="str">
        <f>"000010"</f>
        <v>000010</v>
      </c>
      <c r="M5" s="10">
        <v>42109</v>
      </c>
      <c r="N5" s="11" t="str">
        <f>"000055"</f>
        <v>000055</v>
      </c>
      <c r="O5" s="10">
        <v>42546</v>
      </c>
      <c r="P5" s="11" t="str">
        <f>"000184"</f>
        <v>000184</v>
      </c>
      <c r="Q5" s="10">
        <v>42551</v>
      </c>
      <c r="R5" s="11">
        <v>15</v>
      </c>
      <c r="S5" s="11" t="str">
        <f>"011005"</f>
        <v>011005</v>
      </c>
      <c r="T5" s="10">
        <v>43187</v>
      </c>
      <c r="U5" s="14">
        <v>18.14771</v>
      </c>
      <c r="V5" s="14">
        <v>1.3238700000000001</v>
      </c>
      <c r="W5" s="14">
        <v>16.823840000000001</v>
      </c>
      <c r="X5" s="11">
        <v>9</v>
      </c>
      <c r="Y5" s="10">
        <v>43200</v>
      </c>
      <c r="Z5" s="11">
        <v>9456123216</v>
      </c>
      <c r="AA5" s="12" t="s">
        <v>52</v>
      </c>
      <c r="AB5" s="11" t="s">
        <v>40</v>
      </c>
      <c r="AC5" s="12" t="s">
        <v>41</v>
      </c>
      <c r="AD5" s="11" t="s">
        <v>42</v>
      </c>
      <c r="AE5" s="12" t="s">
        <v>43</v>
      </c>
      <c r="AF5" s="14">
        <v>0.1814771</v>
      </c>
      <c r="AG5" s="11" t="s">
        <v>44</v>
      </c>
    </row>
    <row r="6" spans="1:33" x14ac:dyDescent="0.2">
      <c r="A6" s="8">
        <v>340</v>
      </c>
      <c r="B6" s="9" t="s">
        <v>33</v>
      </c>
      <c r="C6" s="10">
        <v>43200</v>
      </c>
      <c r="D6" s="11">
        <v>15</v>
      </c>
      <c r="E6" s="12" t="s">
        <v>34</v>
      </c>
      <c r="F6" s="12" t="s">
        <v>34</v>
      </c>
      <c r="G6" s="12" t="s">
        <v>35</v>
      </c>
      <c r="H6" s="12" t="s">
        <v>35</v>
      </c>
      <c r="I6" s="11" t="s">
        <v>53</v>
      </c>
      <c r="J6" s="12" t="s">
        <v>54</v>
      </c>
      <c r="K6" s="13" t="s">
        <v>38</v>
      </c>
      <c r="L6" s="11" t="str">
        <f>"000015"</f>
        <v>000015</v>
      </c>
      <c r="M6" s="10">
        <v>42475</v>
      </c>
      <c r="N6" s="11" t="str">
        <f>"000053"</f>
        <v>000053</v>
      </c>
      <c r="O6" s="10">
        <v>42546</v>
      </c>
      <c r="P6" s="11" t="str">
        <f>"000185"</f>
        <v>000185</v>
      </c>
      <c r="Q6" s="10">
        <v>42551</v>
      </c>
      <c r="R6" s="11">
        <v>15</v>
      </c>
      <c r="S6" s="11" t="str">
        <f>"011006"</f>
        <v>011006</v>
      </c>
      <c r="T6" s="10">
        <v>43187</v>
      </c>
      <c r="U6" s="14">
        <v>16.585709999999999</v>
      </c>
      <c r="V6" s="14">
        <v>1.2099299999999999</v>
      </c>
      <c r="W6" s="14">
        <v>15.375780000000001</v>
      </c>
      <c r="X6" s="11">
        <v>9</v>
      </c>
      <c r="Y6" s="10">
        <v>43200</v>
      </c>
      <c r="Z6" s="11">
        <v>9886624564</v>
      </c>
      <c r="AA6" s="12" t="s">
        <v>55</v>
      </c>
      <c r="AB6" s="11" t="s">
        <v>40</v>
      </c>
      <c r="AC6" s="12" t="s">
        <v>41</v>
      </c>
      <c r="AD6" s="11" t="s">
        <v>42</v>
      </c>
      <c r="AE6" s="12" t="s">
        <v>43</v>
      </c>
      <c r="AF6" s="14">
        <v>0.16585709999999998</v>
      </c>
      <c r="AG6" s="11" t="s">
        <v>44</v>
      </c>
    </row>
    <row r="7" spans="1:33" x14ac:dyDescent="0.2">
      <c r="A7" s="8">
        <v>341</v>
      </c>
      <c r="B7" s="9" t="s">
        <v>33</v>
      </c>
      <c r="C7" s="10">
        <v>43200</v>
      </c>
      <c r="D7" s="11">
        <v>15</v>
      </c>
      <c r="E7" s="12" t="s">
        <v>34</v>
      </c>
      <c r="F7" s="12" t="s">
        <v>34</v>
      </c>
      <c r="G7" s="12" t="s">
        <v>35</v>
      </c>
      <c r="H7" s="12" t="s">
        <v>35</v>
      </c>
      <c r="I7" s="11" t="s">
        <v>56</v>
      </c>
      <c r="J7" s="12" t="s">
        <v>57</v>
      </c>
      <c r="K7" s="13" t="s">
        <v>38</v>
      </c>
      <c r="L7" s="11" t="str">
        <f>"000009"</f>
        <v>000009</v>
      </c>
      <c r="M7" s="10">
        <v>42109</v>
      </c>
      <c r="N7" s="11" t="str">
        <f>"000056"</f>
        <v>000056</v>
      </c>
      <c r="O7" s="10">
        <v>42546</v>
      </c>
      <c r="P7" s="11" t="str">
        <f>"000187"</f>
        <v>000187</v>
      </c>
      <c r="Q7" s="10">
        <v>42551</v>
      </c>
      <c r="R7" s="11">
        <v>15</v>
      </c>
      <c r="S7" s="11" t="str">
        <f>"011007"</f>
        <v>011007</v>
      </c>
      <c r="T7" s="10">
        <v>43187</v>
      </c>
      <c r="U7" s="14">
        <v>19.032419999999998</v>
      </c>
      <c r="V7" s="14">
        <v>1.32233</v>
      </c>
      <c r="W7" s="14">
        <v>17.710090000000001</v>
      </c>
      <c r="X7" s="11">
        <v>9</v>
      </c>
      <c r="Y7" s="10">
        <v>43200</v>
      </c>
      <c r="Z7" s="11">
        <v>9456123321</v>
      </c>
      <c r="AA7" s="12" t="s">
        <v>47</v>
      </c>
      <c r="AB7" s="11" t="s">
        <v>40</v>
      </c>
      <c r="AC7" s="12" t="s">
        <v>41</v>
      </c>
      <c r="AD7" s="11" t="s">
        <v>42</v>
      </c>
      <c r="AE7" s="12" t="s">
        <v>43</v>
      </c>
      <c r="AF7" s="14">
        <v>0.19032419999999997</v>
      </c>
      <c r="AG7" s="11" t="s">
        <v>44</v>
      </c>
    </row>
    <row r="8" spans="1:33" x14ac:dyDescent="0.2">
      <c r="A8" s="8">
        <v>342</v>
      </c>
      <c r="B8" s="9" t="s">
        <v>33</v>
      </c>
      <c r="C8" s="10">
        <v>43200</v>
      </c>
      <c r="D8" s="11">
        <v>15</v>
      </c>
      <c r="E8" s="12" t="s">
        <v>34</v>
      </c>
      <c r="F8" s="12" t="s">
        <v>34</v>
      </c>
      <c r="G8" s="12" t="s">
        <v>35</v>
      </c>
      <c r="H8" s="12" t="s">
        <v>35</v>
      </c>
      <c r="I8" s="11" t="s">
        <v>58</v>
      </c>
      <c r="J8" s="12" t="s">
        <v>59</v>
      </c>
      <c r="K8" s="13" t="s">
        <v>60</v>
      </c>
      <c r="L8" s="11" t="str">
        <f>"000033"</f>
        <v>000033</v>
      </c>
      <c r="M8" s="10">
        <v>42453</v>
      </c>
      <c r="N8" s="11" t="str">
        <f>"000065"</f>
        <v>000065</v>
      </c>
      <c r="O8" s="10">
        <v>42550</v>
      </c>
      <c r="P8" s="11" t="str">
        <f>"000245"</f>
        <v>000245</v>
      </c>
      <c r="Q8" s="10">
        <v>42559</v>
      </c>
      <c r="R8" s="11">
        <v>16</v>
      </c>
      <c r="S8" s="11" t="str">
        <f>"000208"</f>
        <v>000208</v>
      </c>
      <c r="T8" s="10">
        <v>43194</v>
      </c>
      <c r="U8" s="14">
        <v>13.528230000000001</v>
      </c>
      <c r="V8" s="14">
        <v>1.0359</v>
      </c>
      <c r="W8" s="14">
        <v>12.492330000000001</v>
      </c>
      <c r="X8" s="11">
        <v>9</v>
      </c>
      <c r="Y8" s="10">
        <v>43200</v>
      </c>
      <c r="Z8" s="11">
        <v>9901829745</v>
      </c>
      <c r="AA8" s="12" t="s">
        <v>61</v>
      </c>
      <c r="AB8" s="11" t="s">
        <v>40</v>
      </c>
      <c r="AC8" s="12" t="s">
        <v>41</v>
      </c>
      <c r="AD8" s="11" t="s">
        <v>42</v>
      </c>
      <c r="AE8" s="12" t="s">
        <v>43</v>
      </c>
      <c r="AF8" s="14">
        <v>0.13528229999999999</v>
      </c>
      <c r="AG8" s="11" t="s">
        <v>44</v>
      </c>
    </row>
    <row r="9" spans="1:33" x14ac:dyDescent="0.2">
      <c r="A9" s="8">
        <v>343</v>
      </c>
      <c r="B9" s="9" t="s">
        <v>33</v>
      </c>
      <c r="C9" s="10">
        <v>43200</v>
      </c>
      <c r="D9" s="11">
        <v>15</v>
      </c>
      <c r="E9" s="12" t="s">
        <v>34</v>
      </c>
      <c r="F9" s="12" t="s">
        <v>34</v>
      </c>
      <c r="G9" s="12" t="s">
        <v>35</v>
      </c>
      <c r="H9" s="12" t="s">
        <v>35</v>
      </c>
      <c r="I9" s="11" t="s">
        <v>62</v>
      </c>
      <c r="J9" s="12" t="s">
        <v>63</v>
      </c>
      <c r="K9" s="13" t="s">
        <v>38</v>
      </c>
      <c r="L9" s="11" t="str">
        <f>"000099"</f>
        <v>000099</v>
      </c>
      <c r="M9" s="10">
        <v>42460</v>
      </c>
      <c r="N9" s="11" t="str">
        <f>"000091"</f>
        <v>000091</v>
      </c>
      <c r="O9" s="10">
        <v>42559</v>
      </c>
      <c r="P9" s="11" t="str">
        <f>"000286"</f>
        <v>000286</v>
      </c>
      <c r="Q9" s="10">
        <v>42559</v>
      </c>
      <c r="R9" s="11">
        <v>16</v>
      </c>
      <c r="S9" s="11" t="str">
        <f>"000226"</f>
        <v>000226</v>
      </c>
      <c r="T9" s="10">
        <v>43194</v>
      </c>
      <c r="U9" s="14">
        <v>17.581289999999999</v>
      </c>
      <c r="V9" s="14">
        <v>1.28416</v>
      </c>
      <c r="W9" s="14">
        <v>16.297129999999999</v>
      </c>
      <c r="X9" s="11">
        <v>9</v>
      </c>
      <c r="Y9" s="10">
        <v>43200</v>
      </c>
      <c r="Z9" s="11">
        <v>9889219009</v>
      </c>
      <c r="AA9" s="12" t="s">
        <v>64</v>
      </c>
      <c r="AB9" s="11" t="s">
        <v>40</v>
      </c>
      <c r="AC9" s="12" t="s">
        <v>41</v>
      </c>
      <c r="AD9" s="11" t="s">
        <v>42</v>
      </c>
      <c r="AE9" s="12" t="s">
        <v>43</v>
      </c>
      <c r="AF9" s="14">
        <v>0.17581289999999999</v>
      </c>
      <c r="AG9" s="11" t="s">
        <v>44</v>
      </c>
    </row>
    <row r="10" spans="1:33" x14ac:dyDescent="0.2">
      <c r="A10" s="8">
        <v>344</v>
      </c>
      <c r="B10" s="9" t="s">
        <v>33</v>
      </c>
      <c r="C10" s="10">
        <v>43200</v>
      </c>
      <c r="D10" s="11">
        <v>15</v>
      </c>
      <c r="E10" s="12" t="s">
        <v>34</v>
      </c>
      <c r="F10" s="12" t="s">
        <v>34</v>
      </c>
      <c r="G10" s="12" t="s">
        <v>35</v>
      </c>
      <c r="H10" s="12" t="s">
        <v>35</v>
      </c>
      <c r="I10" s="11" t="s">
        <v>65</v>
      </c>
      <c r="J10" s="12" t="s">
        <v>66</v>
      </c>
      <c r="K10" s="13" t="s">
        <v>38</v>
      </c>
      <c r="L10" s="11" t="str">
        <f>"000098"</f>
        <v>000098</v>
      </c>
      <c r="M10" s="10">
        <v>42460</v>
      </c>
      <c r="N10" s="11" t="str">
        <f>"000090"</f>
        <v>000090</v>
      </c>
      <c r="O10" s="10">
        <v>42559</v>
      </c>
      <c r="P10" s="11" t="str">
        <f>"000287"</f>
        <v>000287</v>
      </c>
      <c r="Q10" s="10">
        <v>42559</v>
      </c>
      <c r="R10" s="11">
        <v>16</v>
      </c>
      <c r="S10" s="11" t="str">
        <f>"000228"</f>
        <v>000228</v>
      </c>
      <c r="T10" s="10">
        <v>43194</v>
      </c>
      <c r="U10" s="14">
        <v>17.16076</v>
      </c>
      <c r="V10" s="14">
        <v>1.2625200000000001</v>
      </c>
      <c r="W10" s="14">
        <v>15.898239999999999</v>
      </c>
      <c r="X10" s="11">
        <v>9</v>
      </c>
      <c r="Y10" s="10">
        <v>43200</v>
      </c>
      <c r="Z10" s="11">
        <v>9889219009</v>
      </c>
      <c r="AA10" s="12" t="s">
        <v>64</v>
      </c>
      <c r="AB10" s="11" t="s">
        <v>40</v>
      </c>
      <c r="AC10" s="12" t="s">
        <v>41</v>
      </c>
      <c r="AD10" s="11" t="s">
        <v>42</v>
      </c>
      <c r="AE10" s="12" t="s">
        <v>43</v>
      </c>
      <c r="AF10" s="14">
        <v>0.1716076</v>
      </c>
      <c r="AG10" s="11" t="s">
        <v>44</v>
      </c>
    </row>
    <row r="11" spans="1:33" x14ac:dyDescent="0.2">
      <c r="A11" s="8">
        <v>1165</v>
      </c>
      <c r="B11" s="9" t="s">
        <v>67</v>
      </c>
      <c r="C11" s="10">
        <v>43238</v>
      </c>
      <c r="D11" s="11">
        <v>15</v>
      </c>
      <c r="E11" s="12" t="s">
        <v>34</v>
      </c>
      <c r="F11" s="12" t="s">
        <v>34</v>
      </c>
      <c r="G11" s="12" t="s">
        <v>35</v>
      </c>
      <c r="H11" s="12" t="s">
        <v>35</v>
      </c>
      <c r="I11" s="11" t="s">
        <v>68</v>
      </c>
      <c r="J11" s="12" t="s">
        <v>69</v>
      </c>
      <c r="K11" s="13" t="s">
        <v>60</v>
      </c>
      <c r="L11" s="11" t="str">
        <f>"000038"</f>
        <v>000038</v>
      </c>
      <c r="M11" s="10">
        <v>42550</v>
      </c>
      <c r="N11" s="11" t="str">
        <f>"000098"</f>
        <v>000098</v>
      </c>
      <c r="O11" s="10">
        <v>42604</v>
      </c>
      <c r="P11" s="11" t="str">
        <f>"000381"</f>
        <v>000381</v>
      </c>
      <c r="Q11" s="10">
        <v>42604</v>
      </c>
      <c r="R11" s="11">
        <v>15</v>
      </c>
      <c r="S11" s="11" t="str">
        <f>"001392"</f>
        <v>001392</v>
      </c>
      <c r="T11" s="10">
        <v>43236</v>
      </c>
      <c r="U11" s="14">
        <v>14.99513</v>
      </c>
      <c r="V11" s="14">
        <v>2.00285</v>
      </c>
      <c r="W11" s="14">
        <v>12.992279999999999</v>
      </c>
      <c r="X11" s="11">
        <v>52</v>
      </c>
      <c r="Y11" s="10">
        <v>43238</v>
      </c>
      <c r="Z11" s="11">
        <v>9889219009</v>
      </c>
      <c r="AA11" s="12" t="s">
        <v>70</v>
      </c>
      <c r="AB11" s="11" t="s">
        <v>40</v>
      </c>
      <c r="AC11" s="12" t="s">
        <v>41</v>
      </c>
      <c r="AD11" s="11" t="s">
        <v>42</v>
      </c>
      <c r="AE11" s="12" t="s">
        <v>43</v>
      </c>
      <c r="AF11" s="14">
        <v>0.14995130000000001</v>
      </c>
      <c r="AG11" s="11" t="s">
        <v>44</v>
      </c>
    </row>
    <row r="12" spans="1:33" x14ac:dyDescent="0.2">
      <c r="A12" s="8">
        <v>1711</v>
      </c>
      <c r="B12" s="9" t="s">
        <v>71</v>
      </c>
      <c r="C12" s="10">
        <v>43253</v>
      </c>
      <c r="D12" s="11">
        <v>15</v>
      </c>
      <c r="E12" s="12" t="s">
        <v>34</v>
      </c>
      <c r="F12" s="12" t="s">
        <v>34</v>
      </c>
      <c r="G12" s="12" t="s">
        <v>35</v>
      </c>
      <c r="H12" s="12" t="s">
        <v>35</v>
      </c>
      <c r="I12" s="11" t="s">
        <v>72</v>
      </c>
      <c r="J12" s="12" t="s">
        <v>73</v>
      </c>
      <c r="K12" s="13" t="s">
        <v>74</v>
      </c>
      <c r="L12" s="11" t="str">
        <f>"000074"</f>
        <v>000074</v>
      </c>
      <c r="M12" s="10">
        <v>43055</v>
      </c>
      <c r="N12" s="11" t="str">
        <f>"000019"</f>
        <v>000019</v>
      </c>
      <c r="O12" s="10">
        <v>43216</v>
      </c>
      <c r="P12" s="11" t="str">
        <f>"000032"</f>
        <v>000032</v>
      </c>
      <c r="Q12" s="10">
        <v>43224</v>
      </c>
      <c r="R12" s="11">
        <v>18</v>
      </c>
      <c r="S12" s="11" t="str">
        <f>"001802"</f>
        <v>001802</v>
      </c>
      <c r="T12" s="10">
        <v>43244</v>
      </c>
      <c r="U12" s="14">
        <v>49.978990000000003</v>
      </c>
      <c r="V12" s="14">
        <v>4.5547199999999997</v>
      </c>
      <c r="W12" s="14">
        <v>45.42427</v>
      </c>
      <c r="X12" s="11">
        <v>68</v>
      </c>
      <c r="Y12" s="10">
        <v>43253</v>
      </c>
      <c r="Z12" s="11">
        <v>9886219099</v>
      </c>
      <c r="AA12" s="12" t="s">
        <v>70</v>
      </c>
      <c r="AB12" s="11" t="s">
        <v>75</v>
      </c>
      <c r="AC12" s="12" t="s">
        <v>76</v>
      </c>
      <c r="AD12" s="11" t="s">
        <v>42</v>
      </c>
      <c r="AE12" s="12" t="s">
        <v>43</v>
      </c>
      <c r="AF12" s="14">
        <v>0.49978990000000001</v>
      </c>
      <c r="AG12" s="11" t="s">
        <v>77</v>
      </c>
    </row>
    <row r="13" spans="1:33" x14ac:dyDescent="0.2">
      <c r="A13" s="8">
        <v>1712</v>
      </c>
      <c r="B13" s="9" t="s">
        <v>71</v>
      </c>
      <c r="C13" s="10">
        <v>43253</v>
      </c>
      <c r="D13" s="11">
        <v>15</v>
      </c>
      <c r="E13" s="12" t="s">
        <v>34</v>
      </c>
      <c r="F13" s="12" t="s">
        <v>34</v>
      </c>
      <c r="G13" s="12" t="s">
        <v>35</v>
      </c>
      <c r="H13" s="12" t="s">
        <v>35</v>
      </c>
      <c r="I13" s="11" t="s">
        <v>78</v>
      </c>
      <c r="J13" s="12" t="s">
        <v>79</v>
      </c>
      <c r="K13" s="13" t="s">
        <v>74</v>
      </c>
      <c r="L13" s="11" t="str">
        <f>"000075"</f>
        <v>000075</v>
      </c>
      <c r="M13" s="10">
        <v>43055</v>
      </c>
      <c r="N13" s="11" t="str">
        <f>"000020"</f>
        <v>000020</v>
      </c>
      <c r="O13" s="10">
        <v>43216</v>
      </c>
      <c r="P13" s="11" t="str">
        <f>"000033"</f>
        <v>000033</v>
      </c>
      <c r="Q13" s="10">
        <v>43224</v>
      </c>
      <c r="R13" s="11">
        <v>18</v>
      </c>
      <c r="S13" s="11" t="str">
        <f>"001803"</f>
        <v>001803</v>
      </c>
      <c r="T13" s="10">
        <v>43244</v>
      </c>
      <c r="U13" s="14">
        <v>49.966290000000001</v>
      </c>
      <c r="V13" s="14">
        <v>4.5096400000000001</v>
      </c>
      <c r="W13" s="14">
        <v>45.456650000000003</v>
      </c>
      <c r="X13" s="11">
        <v>68</v>
      </c>
      <c r="Y13" s="10">
        <v>43253</v>
      </c>
      <c r="Z13" s="11">
        <v>9886219099</v>
      </c>
      <c r="AA13" s="12" t="s">
        <v>70</v>
      </c>
      <c r="AB13" s="11" t="s">
        <v>75</v>
      </c>
      <c r="AC13" s="12" t="s">
        <v>76</v>
      </c>
      <c r="AD13" s="11" t="s">
        <v>42</v>
      </c>
      <c r="AE13" s="12" t="s">
        <v>43</v>
      </c>
      <c r="AF13" s="14">
        <v>0.49966290000000002</v>
      </c>
      <c r="AG13" s="11" t="s">
        <v>77</v>
      </c>
    </row>
    <row r="14" spans="1:33" x14ac:dyDescent="0.2">
      <c r="A14" s="8">
        <v>1737</v>
      </c>
      <c r="B14" s="9" t="s">
        <v>71</v>
      </c>
      <c r="C14" s="10">
        <v>43257</v>
      </c>
      <c r="D14" s="11">
        <v>15</v>
      </c>
      <c r="E14" s="12" t="s">
        <v>34</v>
      </c>
      <c r="F14" s="12" t="s">
        <v>34</v>
      </c>
      <c r="G14" s="12" t="s">
        <v>35</v>
      </c>
      <c r="H14" s="12" t="s">
        <v>35</v>
      </c>
      <c r="I14" s="11" t="s">
        <v>80</v>
      </c>
      <c r="J14" s="12" t="s">
        <v>81</v>
      </c>
      <c r="K14" s="13" t="s">
        <v>82</v>
      </c>
      <c r="L14" s="11" t="str">
        <f>"000103"</f>
        <v>000103</v>
      </c>
      <c r="M14" s="10">
        <v>43075</v>
      </c>
      <c r="N14" s="11" t="str">
        <f>"000006"</f>
        <v>000006</v>
      </c>
      <c r="O14" s="10">
        <v>43192</v>
      </c>
      <c r="P14" s="11" t="str">
        <f>"000021"</f>
        <v>000021</v>
      </c>
      <c r="Q14" s="10">
        <v>43216</v>
      </c>
      <c r="R14" s="11">
        <v>17</v>
      </c>
      <c r="S14" s="11" t="str">
        <f>"002014"</f>
        <v>002014</v>
      </c>
      <c r="T14" s="10">
        <v>43248</v>
      </c>
      <c r="U14" s="14">
        <v>9.9491999999999994</v>
      </c>
      <c r="V14" s="14">
        <v>0.21743000000000001</v>
      </c>
      <c r="W14" s="14">
        <v>9.7317699999999991</v>
      </c>
      <c r="X14" s="11">
        <v>72</v>
      </c>
      <c r="Y14" s="10">
        <v>43257</v>
      </c>
      <c r="Z14" s="11">
        <v>9535545766</v>
      </c>
      <c r="AA14" s="12" t="s">
        <v>83</v>
      </c>
      <c r="AB14" s="11" t="s">
        <v>84</v>
      </c>
      <c r="AC14" s="12" t="s">
        <v>85</v>
      </c>
      <c r="AD14" s="11" t="s">
        <v>42</v>
      </c>
      <c r="AE14" s="12" t="s">
        <v>43</v>
      </c>
      <c r="AF14" s="14">
        <v>9.9491999999999997E-2</v>
      </c>
      <c r="AG14" s="11" t="s">
        <v>77</v>
      </c>
    </row>
    <row r="15" spans="1:33" x14ac:dyDescent="0.2">
      <c r="A15" s="8">
        <v>2076</v>
      </c>
      <c r="B15" s="9" t="s">
        <v>71</v>
      </c>
      <c r="C15" s="10">
        <v>43264</v>
      </c>
      <c r="D15" s="11">
        <v>15</v>
      </c>
      <c r="E15" s="12" t="s">
        <v>34</v>
      </c>
      <c r="F15" s="12" t="s">
        <v>34</v>
      </c>
      <c r="G15" s="12" t="s">
        <v>35</v>
      </c>
      <c r="H15" s="12" t="s">
        <v>35</v>
      </c>
      <c r="I15" s="11" t="s">
        <v>86</v>
      </c>
      <c r="J15" s="12" t="s">
        <v>87</v>
      </c>
      <c r="K15" s="13" t="s">
        <v>38</v>
      </c>
      <c r="L15" s="11" t="str">
        <f>"000225"</f>
        <v>000225</v>
      </c>
      <c r="M15" s="10">
        <v>43143</v>
      </c>
      <c r="N15" s="11" t="str">
        <f>"000028"</f>
        <v>000028</v>
      </c>
      <c r="O15" s="10">
        <v>43236</v>
      </c>
      <c r="P15" s="11" t="str">
        <f>"000052"</f>
        <v>000052</v>
      </c>
      <c r="Q15" s="10">
        <v>43242</v>
      </c>
      <c r="R15" s="11">
        <v>17</v>
      </c>
      <c r="S15" s="11" t="str">
        <f>"002420"</f>
        <v>002420</v>
      </c>
      <c r="T15" s="10">
        <v>43262</v>
      </c>
      <c r="U15" s="14">
        <v>21.298210000000001</v>
      </c>
      <c r="V15" s="14">
        <v>0.88853000000000004</v>
      </c>
      <c r="W15" s="14">
        <v>20.409680000000002</v>
      </c>
      <c r="X15" s="11">
        <v>82</v>
      </c>
      <c r="Y15" s="10">
        <v>43264</v>
      </c>
      <c r="Z15" s="11">
        <v>8147574095</v>
      </c>
      <c r="AA15" s="12" t="s">
        <v>88</v>
      </c>
      <c r="AB15" s="11" t="s">
        <v>89</v>
      </c>
      <c r="AC15" s="12" t="s">
        <v>90</v>
      </c>
      <c r="AD15" s="11" t="s">
        <v>42</v>
      </c>
      <c r="AE15" s="12" t="s">
        <v>43</v>
      </c>
      <c r="AF15" s="14">
        <v>0.21298210000000001</v>
      </c>
      <c r="AG15" s="11" t="s">
        <v>77</v>
      </c>
    </row>
    <row r="16" spans="1:33" x14ac:dyDescent="0.2">
      <c r="A16" s="8">
        <v>2077</v>
      </c>
      <c r="B16" s="9" t="s">
        <v>71</v>
      </c>
      <c r="C16" s="10">
        <v>43264</v>
      </c>
      <c r="D16" s="11">
        <v>15</v>
      </c>
      <c r="E16" s="12" t="s">
        <v>34</v>
      </c>
      <c r="F16" s="12" t="s">
        <v>34</v>
      </c>
      <c r="G16" s="12" t="s">
        <v>35</v>
      </c>
      <c r="H16" s="12" t="s">
        <v>35</v>
      </c>
      <c r="I16" s="11" t="s">
        <v>91</v>
      </c>
      <c r="J16" s="12" t="s">
        <v>92</v>
      </c>
      <c r="K16" s="13" t="s">
        <v>38</v>
      </c>
      <c r="L16" s="11" t="str">
        <f>"000229"</f>
        <v>000229</v>
      </c>
      <c r="M16" s="10">
        <v>43143</v>
      </c>
      <c r="N16" s="11" t="str">
        <f>"000029"</f>
        <v>000029</v>
      </c>
      <c r="O16" s="10">
        <v>43236</v>
      </c>
      <c r="P16" s="11" t="str">
        <f>"000053"</f>
        <v>000053</v>
      </c>
      <c r="Q16" s="10">
        <v>43242</v>
      </c>
      <c r="R16" s="11">
        <v>17</v>
      </c>
      <c r="S16" s="11" t="str">
        <f>"002421"</f>
        <v>002421</v>
      </c>
      <c r="T16" s="10">
        <v>43262</v>
      </c>
      <c r="U16" s="14">
        <v>22.21452</v>
      </c>
      <c r="V16" s="14">
        <v>0.96035999999999999</v>
      </c>
      <c r="W16" s="14">
        <v>21.254159999999999</v>
      </c>
      <c r="X16" s="11">
        <v>82</v>
      </c>
      <c r="Y16" s="10">
        <v>43264</v>
      </c>
      <c r="Z16" s="11">
        <v>8147574095</v>
      </c>
      <c r="AA16" s="12" t="s">
        <v>88</v>
      </c>
      <c r="AB16" s="11" t="s">
        <v>89</v>
      </c>
      <c r="AC16" s="12" t="s">
        <v>90</v>
      </c>
      <c r="AD16" s="11" t="s">
        <v>42</v>
      </c>
      <c r="AE16" s="12" t="s">
        <v>43</v>
      </c>
      <c r="AF16" s="14">
        <v>0.22214520000000001</v>
      </c>
      <c r="AG16" s="11" t="s">
        <v>77</v>
      </c>
    </row>
    <row r="17" spans="1:33" x14ac:dyDescent="0.2">
      <c r="A17" s="8">
        <v>2078</v>
      </c>
      <c r="B17" s="9" t="s">
        <v>71</v>
      </c>
      <c r="C17" s="10">
        <v>43264</v>
      </c>
      <c r="D17" s="11">
        <v>15</v>
      </c>
      <c r="E17" s="12" t="s">
        <v>34</v>
      </c>
      <c r="F17" s="12" t="s">
        <v>34</v>
      </c>
      <c r="G17" s="12" t="s">
        <v>35</v>
      </c>
      <c r="H17" s="12" t="s">
        <v>35</v>
      </c>
      <c r="I17" s="11" t="s">
        <v>93</v>
      </c>
      <c r="J17" s="12" t="s">
        <v>94</v>
      </c>
      <c r="K17" s="13" t="s">
        <v>60</v>
      </c>
      <c r="L17" s="11" t="str">
        <f>"000228"</f>
        <v>000228</v>
      </c>
      <c r="M17" s="10">
        <v>43143</v>
      </c>
      <c r="N17" s="11" t="str">
        <f>"000027"</f>
        <v>000027</v>
      </c>
      <c r="O17" s="10">
        <v>43236</v>
      </c>
      <c r="P17" s="11" t="str">
        <f>"000054"</f>
        <v>000054</v>
      </c>
      <c r="Q17" s="10">
        <v>43242</v>
      </c>
      <c r="R17" s="11">
        <v>17</v>
      </c>
      <c r="S17" s="11" t="str">
        <f>"002422"</f>
        <v>002422</v>
      </c>
      <c r="T17" s="10">
        <v>43262</v>
      </c>
      <c r="U17" s="14">
        <v>20.889510000000001</v>
      </c>
      <c r="V17" s="14">
        <v>0.87672000000000005</v>
      </c>
      <c r="W17" s="14">
        <v>20.012789999999999</v>
      </c>
      <c r="X17" s="11">
        <v>82</v>
      </c>
      <c r="Y17" s="10">
        <v>43264</v>
      </c>
      <c r="Z17" s="11">
        <v>8147574095</v>
      </c>
      <c r="AA17" s="12" t="s">
        <v>88</v>
      </c>
      <c r="AB17" s="11" t="s">
        <v>89</v>
      </c>
      <c r="AC17" s="12" t="s">
        <v>90</v>
      </c>
      <c r="AD17" s="11" t="s">
        <v>42</v>
      </c>
      <c r="AE17" s="12" t="s">
        <v>43</v>
      </c>
      <c r="AF17" s="14">
        <v>0.2088951</v>
      </c>
      <c r="AG17" s="11" t="s">
        <v>77</v>
      </c>
    </row>
    <row r="18" spans="1:33" x14ac:dyDescent="0.2">
      <c r="A18" s="8">
        <v>2079</v>
      </c>
      <c r="B18" s="9" t="s">
        <v>71</v>
      </c>
      <c r="C18" s="10">
        <v>43264</v>
      </c>
      <c r="D18" s="11">
        <v>15</v>
      </c>
      <c r="E18" s="12" t="s">
        <v>34</v>
      </c>
      <c r="F18" s="12" t="s">
        <v>34</v>
      </c>
      <c r="G18" s="12" t="s">
        <v>35</v>
      </c>
      <c r="H18" s="12" t="s">
        <v>35</v>
      </c>
      <c r="I18" s="11" t="s">
        <v>95</v>
      </c>
      <c r="J18" s="12" t="s">
        <v>96</v>
      </c>
      <c r="K18" s="13" t="s">
        <v>38</v>
      </c>
      <c r="L18" s="11" t="str">
        <f>"000230"</f>
        <v>000230</v>
      </c>
      <c r="M18" s="10">
        <v>43143</v>
      </c>
      <c r="N18" s="11" t="str">
        <f>"000026"</f>
        <v>000026</v>
      </c>
      <c r="O18" s="10">
        <v>43236</v>
      </c>
      <c r="P18" s="11" t="str">
        <f>"000055"</f>
        <v>000055</v>
      </c>
      <c r="Q18" s="10">
        <v>43242</v>
      </c>
      <c r="R18" s="11">
        <v>17</v>
      </c>
      <c r="S18" s="11" t="str">
        <f>"002423"</f>
        <v>002423</v>
      </c>
      <c r="T18" s="10">
        <v>43262</v>
      </c>
      <c r="U18" s="14">
        <v>21.451450000000001</v>
      </c>
      <c r="V18" s="14">
        <v>0.91585000000000005</v>
      </c>
      <c r="W18" s="14">
        <v>20.535599999999999</v>
      </c>
      <c r="X18" s="11">
        <v>82</v>
      </c>
      <c r="Y18" s="10">
        <v>43264</v>
      </c>
      <c r="Z18" s="11">
        <v>8147574095</v>
      </c>
      <c r="AA18" s="12" t="s">
        <v>88</v>
      </c>
      <c r="AB18" s="11" t="s">
        <v>89</v>
      </c>
      <c r="AC18" s="12" t="s">
        <v>90</v>
      </c>
      <c r="AD18" s="11" t="s">
        <v>42</v>
      </c>
      <c r="AE18" s="12" t="s">
        <v>43</v>
      </c>
      <c r="AF18" s="14">
        <v>0.21451450000000002</v>
      </c>
      <c r="AG18" s="11" t="s">
        <v>77</v>
      </c>
    </row>
    <row r="19" spans="1:33" x14ac:dyDescent="0.2">
      <c r="A19" s="8">
        <v>2685</v>
      </c>
      <c r="B19" s="9" t="s">
        <v>71</v>
      </c>
      <c r="C19" s="10">
        <v>43278</v>
      </c>
      <c r="D19" s="11">
        <v>15</v>
      </c>
      <c r="E19" s="12" t="s">
        <v>34</v>
      </c>
      <c r="F19" s="12" t="s">
        <v>34</v>
      </c>
      <c r="G19" s="12" t="s">
        <v>35</v>
      </c>
      <c r="H19" s="12" t="s">
        <v>35</v>
      </c>
      <c r="I19" s="11" t="s">
        <v>97</v>
      </c>
      <c r="J19" s="12" t="s">
        <v>98</v>
      </c>
      <c r="K19" s="13" t="s">
        <v>38</v>
      </c>
      <c r="L19" s="11" t="str">
        <f>"000044"</f>
        <v>000044</v>
      </c>
      <c r="M19" s="10">
        <v>42557</v>
      </c>
      <c r="N19" s="11" t="str">
        <f>"000118"</f>
        <v>000118</v>
      </c>
      <c r="O19" s="10">
        <v>42671</v>
      </c>
      <c r="P19" s="11" t="str">
        <f>"000494"</f>
        <v>000494</v>
      </c>
      <c r="Q19" s="10">
        <v>42671</v>
      </c>
      <c r="R19" s="11">
        <v>15</v>
      </c>
      <c r="S19" s="11" t="str">
        <f>"002901"</f>
        <v>002901</v>
      </c>
      <c r="T19" s="10">
        <v>43276</v>
      </c>
      <c r="U19" s="14">
        <v>19.196999999999999</v>
      </c>
      <c r="V19" s="14">
        <v>1.45357</v>
      </c>
      <c r="W19" s="14">
        <v>17.74343</v>
      </c>
      <c r="X19" s="11">
        <v>103</v>
      </c>
      <c r="Y19" s="10">
        <v>43278</v>
      </c>
      <c r="Z19" s="11">
        <v>9448542267</v>
      </c>
      <c r="AA19" s="12" t="s">
        <v>99</v>
      </c>
      <c r="AB19" s="11" t="s">
        <v>40</v>
      </c>
      <c r="AC19" s="12" t="s">
        <v>41</v>
      </c>
      <c r="AD19" s="11" t="s">
        <v>42</v>
      </c>
      <c r="AE19" s="12" t="s">
        <v>43</v>
      </c>
      <c r="AF19" s="14">
        <v>0.19197</v>
      </c>
      <c r="AG19" s="11" t="s">
        <v>44</v>
      </c>
    </row>
    <row r="20" spans="1:33" x14ac:dyDescent="0.2">
      <c r="A20" s="8">
        <v>3030</v>
      </c>
      <c r="B20" s="9" t="s">
        <v>100</v>
      </c>
      <c r="C20" s="10">
        <v>43287</v>
      </c>
      <c r="D20" s="11">
        <v>15</v>
      </c>
      <c r="E20" s="12" t="s">
        <v>34</v>
      </c>
      <c r="F20" s="12" t="s">
        <v>34</v>
      </c>
      <c r="G20" s="12" t="s">
        <v>35</v>
      </c>
      <c r="H20" s="12" t="s">
        <v>35</v>
      </c>
      <c r="I20" s="11" t="s">
        <v>101</v>
      </c>
      <c r="J20" s="12" t="s">
        <v>102</v>
      </c>
      <c r="K20" s="13" t="s">
        <v>103</v>
      </c>
      <c r="L20" s="11" t="str">
        <f>"000038"</f>
        <v>000038</v>
      </c>
      <c r="M20" s="10">
        <v>42453</v>
      </c>
      <c r="N20" s="11" t="str">
        <f>"000123"</f>
        <v>000123</v>
      </c>
      <c r="O20" s="10">
        <v>42671</v>
      </c>
      <c r="P20" s="11" t="str">
        <f>"000519"</f>
        <v>000519</v>
      </c>
      <c r="Q20" s="10">
        <v>42697</v>
      </c>
      <c r="R20" s="11">
        <v>16</v>
      </c>
      <c r="S20" s="11" t="str">
        <f>"003293"</f>
        <v>003293</v>
      </c>
      <c r="T20" s="10">
        <v>43285</v>
      </c>
      <c r="U20" s="14">
        <v>2.1515499999999999</v>
      </c>
      <c r="V20" s="14">
        <v>0.13125000000000001</v>
      </c>
      <c r="W20" s="14">
        <v>2.0203000000000002</v>
      </c>
      <c r="X20" s="11">
        <v>113</v>
      </c>
      <c r="Y20" s="10">
        <v>43287</v>
      </c>
      <c r="Z20" s="11">
        <v>7847953939</v>
      </c>
      <c r="AA20" s="12" t="s">
        <v>104</v>
      </c>
      <c r="AB20" s="11" t="s">
        <v>40</v>
      </c>
      <c r="AC20" s="12" t="s">
        <v>41</v>
      </c>
      <c r="AD20" s="11" t="s">
        <v>42</v>
      </c>
      <c r="AE20" s="12" t="s">
        <v>43</v>
      </c>
      <c r="AF20" s="14">
        <v>2.15155E-2</v>
      </c>
      <c r="AG20" s="11" t="s">
        <v>44</v>
      </c>
    </row>
    <row r="21" spans="1:33" x14ac:dyDescent="0.2">
      <c r="A21" s="8">
        <v>3031</v>
      </c>
      <c r="B21" s="9" t="s">
        <v>100</v>
      </c>
      <c r="C21" s="10">
        <v>43287</v>
      </c>
      <c r="D21" s="11">
        <v>15</v>
      </c>
      <c r="E21" s="12" t="s">
        <v>34</v>
      </c>
      <c r="F21" s="12" t="s">
        <v>34</v>
      </c>
      <c r="G21" s="12" t="s">
        <v>35</v>
      </c>
      <c r="H21" s="12" t="s">
        <v>35</v>
      </c>
      <c r="I21" s="11" t="s">
        <v>105</v>
      </c>
      <c r="J21" s="12" t="s">
        <v>106</v>
      </c>
      <c r="K21" s="13" t="s">
        <v>74</v>
      </c>
      <c r="L21" s="11" t="str">
        <f>"000140"</f>
        <v>000140</v>
      </c>
      <c r="M21" s="10">
        <v>43088</v>
      </c>
      <c r="N21" s="11" t="str">
        <f>"000043"</f>
        <v>000043</v>
      </c>
      <c r="O21" s="10">
        <v>43256</v>
      </c>
      <c r="P21" s="11" t="str">
        <f>"000066"</f>
        <v>000066</v>
      </c>
      <c r="Q21" s="10">
        <v>43256</v>
      </c>
      <c r="R21" s="11">
        <v>17</v>
      </c>
      <c r="S21" s="11" t="str">
        <f>"003351"</f>
        <v>003351</v>
      </c>
      <c r="T21" s="10">
        <v>43286</v>
      </c>
      <c r="U21" s="14">
        <v>11.1777</v>
      </c>
      <c r="V21" s="14">
        <v>0.23474</v>
      </c>
      <c r="W21" s="14">
        <v>10.942959999999999</v>
      </c>
      <c r="X21" s="11">
        <v>114</v>
      </c>
      <c r="Y21" s="10">
        <v>43287</v>
      </c>
      <c r="Z21" s="11">
        <v>9591836710</v>
      </c>
      <c r="AA21" s="12" t="s">
        <v>107</v>
      </c>
      <c r="AB21" s="11" t="s">
        <v>84</v>
      </c>
      <c r="AC21" s="12" t="s">
        <v>85</v>
      </c>
      <c r="AD21" s="11" t="s">
        <v>42</v>
      </c>
      <c r="AE21" s="12" t="s">
        <v>43</v>
      </c>
      <c r="AF21" s="14">
        <v>0.111777</v>
      </c>
      <c r="AG21" s="11" t="s">
        <v>77</v>
      </c>
    </row>
    <row r="22" spans="1:33" x14ac:dyDescent="0.2">
      <c r="A22" s="8">
        <v>3412</v>
      </c>
      <c r="B22" s="9" t="s">
        <v>100</v>
      </c>
      <c r="C22" s="10">
        <v>43299</v>
      </c>
      <c r="D22" s="11">
        <v>15</v>
      </c>
      <c r="E22" s="12" t="s">
        <v>34</v>
      </c>
      <c r="F22" s="12" t="s">
        <v>34</v>
      </c>
      <c r="G22" s="12" t="s">
        <v>35</v>
      </c>
      <c r="H22" s="12" t="s">
        <v>35</v>
      </c>
      <c r="I22" s="11" t="s">
        <v>108</v>
      </c>
      <c r="J22" s="12" t="s">
        <v>109</v>
      </c>
      <c r="K22" s="13" t="s">
        <v>74</v>
      </c>
      <c r="L22" s="11" t="str">
        <f>"00010A"</f>
        <v>00010A</v>
      </c>
      <c r="M22" s="10">
        <v>42697</v>
      </c>
      <c r="N22" s="11" t="str">
        <f>"000018"</f>
        <v>000018</v>
      </c>
      <c r="O22" s="10">
        <v>43109</v>
      </c>
      <c r="P22" s="11" t="str">
        <f>"000018"</f>
        <v>000018</v>
      </c>
      <c r="Q22" s="10">
        <v>43109</v>
      </c>
      <c r="R22" s="11">
        <v>16</v>
      </c>
      <c r="S22" s="11" t="str">
        <f>""</f>
        <v/>
      </c>
      <c r="T22" s="10"/>
      <c r="U22" s="14">
        <v>4.3317500000000004</v>
      </c>
      <c r="V22" s="14">
        <v>0.43725000000000003</v>
      </c>
      <c r="W22" s="14">
        <v>3.8944999999999999</v>
      </c>
      <c r="X22" s="11">
        <v>127</v>
      </c>
      <c r="Y22" s="10">
        <v>43299</v>
      </c>
      <c r="Z22" s="11">
        <v>9845177325</v>
      </c>
      <c r="AA22" s="12" t="s">
        <v>110</v>
      </c>
      <c r="AB22" s="11" t="s">
        <v>111</v>
      </c>
      <c r="AC22" s="12" t="s">
        <v>112</v>
      </c>
      <c r="AD22" s="11" t="s">
        <v>113</v>
      </c>
      <c r="AE22" s="12" t="s">
        <v>114</v>
      </c>
      <c r="AF22" s="14">
        <v>4.3317500000000002E-2</v>
      </c>
      <c r="AG22" s="11" t="s">
        <v>44</v>
      </c>
    </row>
    <row r="23" spans="1:33" x14ac:dyDescent="0.2">
      <c r="A23" s="8">
        <v>4369</v>
      </c>
      <c r="B23" s="9" t="s">
        <v>115</v>
      </c>
      <c r="C23" s="10">
        <v>43318</v>
      </c>
      <c r="D23" s="11">
        <v>15</v>
      </c>
      <c r="E23" s="12" t="s">
        <v>34</v>
      </c>
      <c r="F23" s="12" t="s">
        <v>34</v>
      </c>
      <c r="G23" s="12" t="s">
        <v>35</v>
      </c>
      <c r="H23" s="12" t="s">
        <v>35</v>
      </c>
      <c r="I23" s="11" t="s">
        <v>116</v>
      </c>
      <c r="J23" s="12" t="s">
        <v>117</v>
      </c>
      <c r="K23" s="13" t="s">
        <v>118</v>
      </c>
      <c r="L23" s="11" t="str">
        <f>"000021"</f>
        <v>000021</v>
      </c>
      <c r="M23" s="10">
        <v>42797</v>
      </c>
      <c r="N23" s="11" t="str">
        <f>"000004"</f>
        <v>000004</v>
      </c>
      <c r="O23" s="10">
        <v>42844</v>
      </c>
      <c r="P23" s="11" t="str">
        <f>"000004"</f>
        <v>000004</v>
      </c>
      <c r="Q23" s="10">
        <v>42845</v>
      </c>
      <c r="R23" s="11">
        <v>15</v>
      </c>
      <c r="S23" s="11" t="str">
        <f>"004865"</f>
        <v>004865</v>
      </c>
      <c r="T23" s="10">
        <v>43316</v>
      </c>
      <c r="U23" s="14">
        <v>4.9321099999999998</v>
      </c>
      <c r="V23" s="14">
        <v>0.5968</v>
      </c>
      <c r="W23" s="14">
        <v>4.3353099999999998</v>
      </c>
      <c r="X23" s="11">
        <v>158</v>
      </c>
      <c r="Y23" s="10">
        <v>43318</v>
      </c>
      <c r="Z23" s="11">
        <v>9986313631</v>
      </c>
      <c r="AA23" s="12" t="s">
        <v>119</v>
      </c>
      <c r="AB23" s="11" t="s">
        <v>120</v>
      </c>
      <c r="AC23" s="12" t="s">
        <v>121</v>
      </c>
      <c r="AD23" s="11" t="s">
        <v>113</v>
      </c>
      <c r="AE23" s="12" t="s">
        <v>114</v>
      </c>
      <c r="AF23" s="14">
        <v>4.93211E-2</v>
      </c>
      <c r="AG23" s="11" t="s">
        <v>44</v>
      </c>
    </row>
    <row r="24" spans="1:33" x14ac:dyDescent="0.2">
      <c r="A24" s="8">
        <v>4370</v>
      </c>
      <c r="B24" s="9" t="s">
        <v>115</v>
      </c>
      <c r="C24" s="10">
        <v>43318</v>
      </c>
      <c r="D24" s="11">
        <v>15</v>
      </c>
      <c r="E24" s="12" t="s">
        <v>34</v>
      </c>
      <c r="F24" s="12" t="s">
        <v>34</v>
      </c>
      <c r="G24" s="12" t="s">
        <v>35</v>
      </c>
      <c r="H24" s="12" t="s">
        <v>35</v>
      </c>
      <c r="I24" s="11" t="s">
        <v>122</v>
      </c>
      <c r="J24" s="12" t="s">
        <v>123</v>
      </c>
      <c r="K24" s="13" t="s">
        <v>124</v>
      </c>
      <c r="L24" s="11" t="str">
        <f>"000006"</f>
        <v>000006</v>
      </c>
      <c r="M24" s="10">
        <v>42954</v>
      </c>
      <c r="N24" s="11" t="str">
        <f>"000003"</f>
        <v>000003</v>
      </c>
      <c r="O24" s="10">
        <v>42983</v>
      </c>
      <c r="P24" s="11" t="str">
        <f>"000002"</f>
        <v>000002</v>
      </c>
      <c r="Q24" s="10">
        <v>42985</v>
      </c>
      <c r="R24" s="11">
        <v>17</v>
      </c>
      <c r="S24" s="11" t="str">
        <f>"004750"</f>
        <v>004750</v>
      </c>
      <c r="T24" s="10">
        <v>43314</v>
      </c>
      <c r="U24" s="14">
        <v>39.38599</v>
      </c>
      <c r="V24" s="14">
        <v>3.1902699999999999</v>
      </c>
      <c r="W24" s="14">
        <v>36.195720000000001</v>
      </c>
      <c r="X24" s="11">
        <v>160</v>
      </c>
      <c r="Y24" s="10">
        <v>43318</v>
      </c>
      <c r="Z24" s="11">
        <v>9591836710</v>
      </c>
      <c r="AA24" s="12" t="s">
        <v>70</v>
      </c>
      <c r="AB24" s="11" t="s">
        <v>125</v>
      </c>
      <c r="AC24" s="12" t="s">
        <v>126</v>
      </c>
      <c r="AD24" s="11" t="s">
        <v>42</v>
      </c>
      <c r="AE24" s="12" t="s">
        <v>43</v>
      </c>
      <c r="AF24" s="14">
        <v>0.39385989999999999</v>
      </c>
      <c r="AG24" s="11" t="s">
        <v>44</v>
      </c>
    </row>
    <row r="25" spans="1:33" x14ac:dyDescent="0.2">
      <c r="A25" s="8">
        <v>4371</v>
      </c>
      <c r="B25" s="9" t="s">
        <v>115</v>
      </c>
      <c r="C25" s="10">
        <v>43318</v>
      </c>
      <c r="D25" s="11">
        <v>15</v>
      </c>
      <c r="E25" s="12" t="s">
        <v>34</v>
      </c>
      <c r="F25" s="12" t="s">
        <v>34</v>
      </c>
      <c r="G25" s="12" t="s">
        <v>35</v>
      </c>
      <c r="H25" s="12" t="s">
        <v>35</v>
      </c>
      <c r="I25" s="11" t="s">
        <v>127</v>
      </c>
      <c r="J25" s="12" t="s">
        <v>128</v>
      </c>
      <c r="K25" s="13" t="s">
        <v>124</v>
      </c>
      <c r="L25" s="11" t="str">
        <f>"000059"</f>
        <v>000059</v>
      </c>
      <c r="M25" s="10">
        <v>42453</v>
      </c>
      <c r="N25" s="11" t="str">
        <f>"000006"</f>
        <v>000006</v>
      </c>
      <c r="O25" s="10">
        <v>42992</v>
      </c>
      <c r="P25" s="11" t="str">
        <f>"000015"</f>
        <v>000015</v>
      </c>
      <c r="Q25" s="10">
        <v>42993</v>
      </c>
      <c r="R25" s="11">
        <v>16</v>
      </c>
      <c r="S25" s="11" t="str">
        <f>"004842"</f>
        <v>004842</v>
      </c>
      <c r="T25" s="10">
        <v>43315</v>
      </c>
      <c r="U25" s="14">
        <v>4.93405</v>
      </c>
      <c r="V25" s="14">
        <v>0.10360999999999999</v>
      </c>
      <c r="W25" s="14">
        <v>4.8304400000000003</v>
      </c>
      <c r="X25" s="11">
        <v>160</v>
      </c>
      <c r="Y25" s="10">
        <v>43318</v>
      </c>
      <c r="Z25" s="11">
        <v>8970389692</v>
      </c>
      <c r="AA25" s="12" t="s">
        <v>129</v>
      </c>
      <c r="AB25" s="11" t="s">
        <v>125</v>
      </c>
      <c r="AC25" s="12" t="s">
        <v>126</v>
      </c>
      <c r="AD25" s="11" t="s">
        <v>42</v>
      </c>
      <c r="AE25" s="12" t="s">
        <v>43</v>
      </c>
      <c r="AF25" s="14">
        <v>4.9340500000000002E-2</v>
      </c>
      <c r="AG25" s="11" t="s">
        <v>44</v>
      </c>
    </row>
    <row r="26" spans="1:33" x14ac:dyDescent="0.2">
      <c r="A26" s="8">
        <v>4732</v>
      </c>
      <c r="B26" s="9" t="s">
        <v>115</v>
      </c>
      <c r="C26" s="10">
        <v>43326</v>
      </c>
      <c r="D26" s="11">
        <v>15</v>
      </c>
      <c r="E26" s="12" t="s">
        <v>34</v>
      </c>
      <c r="F26" s="12" t="s">
        <v>34</v>
      </c>
      <c r="G26" s="12" t="s">
        <v>35</v>
      </c>
      <c r="H26" s="12" t="s">
        <v>35</v>
      </c>
      <c r="I26" s="11" t="s">
        <v>130</v>
      </c>
      <c r="J26" s="12" t="s">
        <v>131</v>
      </c>
      <c r="K26" s="13" t="s">
        <v>38</v>
      </c>
      <c r="L26" s="11" t="str">
        <f>"000109"</f>
        <v>000109</v>
      </c>
      <c r="M26" s="10">
        <v>42748</v>
      </c>
      <c r="N26" s="11" t="str">
        <f>"000188"</f>
        <v>000188</v>
      </c>
      <c r="O26" s="10">
        <v>42815</v>
      </c>
      <c r="P26" s="11" t="str">
        <f>"000684"</f>
        <v>000684</v>
      </c>
      <c r="Q26" s="10">
        <v>42819</v>
      </c>
      <c r="R26" s="11">
        <v>16</v>
      </c>
      <c r="S26" s="11" t="str">
        <f>"005056"</f>
        <v>005056</v>
      </c>
      <c r="T26" s="10">
        <v>43322</v>
      </c>
      <c r="U26" s="14">
        <v>39.36103</v>
      </c>
      <c r="V26" s="14">
        <v>2.8559399999999999</v>
      </c>
      <c r="W26" s="14">
        <v>36.505090000000003</v>
      </c>
      <c r="X26" s="11">
        <v>170</v>
      </c>
      <c r="Y26" s="10">
        <v>43326</v>
      </c>
      <c r="Z26" s="11">
        <v>9591836710</v>
      </c>
      <c r="AA26" s="12" t="s">
        <v>132</v>
      </c>
      <c r="AB26" s="11" t="s">
        <v>89</v>
      </c>
      <c r="AC26" s="12" t="s">
        <v>90</v>
      </c>
      <c r="AD26" s="11" t="s">
        <v>42</v>
      </c>
      <c r="AE26" s="12" t="s">
        <v>43</v>
      </c>
      <c r="AF26" s="14">
        <v>0.39361029999999997</v>
      </c>
      <c r="AG26" s="11" t="s">
        <v>44</v>
      </c>
    </row>
    <row r="27" spans="1:33" x14ac:dyDescent="0.2">
      <c r="A27" s="8">
        <v>4733</v>
      </c>
      <c r="B27" s="9" t="s">
        <v>115</v>
      </c>
      <c r="C27" s="10">
        <v>43326</v>
      </c>
      <c r="D27" s="11">
        <v>15</v>
      </c>
      <c r="E27" s="12" t="s">
        <v>34</v>
      </c>
      <c r="F27" s="12" t="s">
        <v>34</v>
      </c>
      <c r="G27" s="12" t="s">
        <v>35</v>
      </c>
      <c r="H27" s="12" t="s">
        <v>35</v>
      </c>
      <c r="I27" s="11" t="s">
        <v>133</v>
      </c>
      <c r="J27" s="12" t="s">
        <v>134</v>
      </c>
      <c r="K27" s="13" t="s">
        <v>38</v>
      </c>
      <c r="L27" s="11" t="str">
        <f>"000110"</f>
        <v>000110</v>
      </c>
      <c r="M27" s="10">
        <v>42748</v>
      </c>
      <c r="N27" s="11" t="str">
        <f>"000189"</f>
        <v>000189</v>
      </c>
      <c r="O27" s="10">
        <v>42815</v>
      </c>
      <c r="P27" s="11" t="str">
        <f>"000685"</f>
        <v>000685</v>
      </c>
      <c r="Q27" s="10">
        <v>42819</v>
      </c>
      <c r="R27" s="11">
        <v>16</v>
      </c>
      <c r="S27" s="11" t="str">
        <f>"005057"</f>
        <v>005057</v>
      </c>
      <c r="T27" s="10">
        <v>43322</v>
      </c>
      <c r="U27" s="14">
        <v>39.316119999999998</v>
      </c>
      <c r="V27" s="14">
        <v>2.8734000000000002</v>
      </c>
      <c r="W27" s="14">
        <v>36.442720000000001</v>
      </c>
      <c r="X27" s="11">
        <v>170</v>
      </c>
      <c r="Y27" s="10">
        <v>43326</v>
      </c>
      <c r="Z27" s="11">
        <v>9591836710</v>
      </c>
      <c r="AA27" s="12" t="s">
        <v>132</v>
      </c>
      <c r="AB27" s="11" t="s">
        <v>89</v>
      </c>
      <c r="AC27" s="12" t="s">
        <v>90</v>
      </c>
      <c r="AD27" s="11" t="s">
        <v>42</v>
      </c>
      <c r="AE27" s="12" t="s">
        <v>43</v>
      </c>
      <c r="AF27" s="14">
        <v>0.39316119999999999</v>
      </c>
      <c r="AG27" s="11" t="s">
        <v>44</v>
      </c>
    </row>
    <row r="28" spans="1:33" x14ac:dyDescent="0.2">
      <c r="A28" s="8">
        <v>5174</v>
      </c>
      <c r="B28" s="9" t="s">
        <v>135</v>
      </c>
      <c r="C28" s="10">
        <v>43346</v>
      </c>
      <c r="D28" s="11">
        <v>15</v>
      </c>
      <c r="E28" s="12" t="s">
        <v>34</v>
      </c>
      <c r="F28" s="12" t="s">
        <v>34</v>
      </c>
      <c r="G28" s="12" t="s">
        <v>35</v>
      </c>
      <c r="H28" s="12" t="s">
        <v>35</v>
      </c>
      <c r="I28" s="11" t="s">
        <v>136</v>
      </c>
      <c r="J28" s="12" t="s">
        <v>137</v>
      </c>
      <c r="K28" s="13" t="s">
        <v>74</v>
      </c>
      <c r="L28" s="11" t="str">
        <f>"000261"</f>
        <v>000261</v>
      </c>
      <c r="M28" s="10">
        <v>41685</v>
      </c>
      <c r="N28" s="11" t="str">
        <f>"000071"</f>
        <v>000071</v>
      </c>
      <c r="O28" s="10">
        <v>42550</v>
      </c>
      <c r="P28" s="11" t="str">
        <f>"000506"</f>
        <v>000506</v>
      </c>
      <c r="Q28" s="10">
        <v>42671</v>
      </c>
      <c r="R28" s="11">
        <v>14</v>
      </c>
      <c r="S28" s="11" t="str">
        <f>"005320"</f>
        <v>005320</v>
      </c>
      <c r="T28" s="10">
        <v>43333</v>
      </c>
      <c r="U28" s="14">
        <v>11.99086</v>
      </c>
      <c r="V28" s="14">
        <v>0.25180999999999998</v>
      </c>
      <c r="W28" s="14">
        <v>11.739050000000001</v>
      </c>
      <c r="X28" s="11">
        <v>193</v>
      </c>
      <c r="Y28" s="10">
        <v>43346</v>
      </c>
      <c r="Z28" s="11">
        <v>8884965645</v>
      </c>
      <c r="AA28" s="12" t="s">
        <v>138</v>
      </c>
      <c r="AB28" s="11" t="s">
        <v>40</v>
      </c>
      <c r="AC28" s="12" t="s">
        <v>41</v>
      </c>
      <c r="AD28" s="11" t="s">
        <v>42</v>
      </c>
      <c r="AE28" s="12" t="s">
        <v>43</v>
      </c>
      <c r="AF28" s="14">
        <f t="shared" ref="AF28:AF53" si="0">U28/100</f>
        <v>0.11990859999999999</v>
      </c>
      <c r="AG28" s="11" t="s">
        <v>44</v>
      </c>
    </row>
    <row r="29" spans="1:33" x14ac:dyDescent="0.2">
      <c r="A29" s="8">
        <v>5175</v>
      </c>
      <c r="B29" s="9" t="s">
        <v>135</v>
      </c>
      <c r="C29" s="10">
        <v>43346</v>
      </c>
      <c r="D29" s="11">
        <v>15</v>
      </c>
      <c r="E29" s="12" t="s">
        <v>34</v>
      </c>
      <c r="F29" s="12" t="s">
        <v>34</v>
      </c>
      <c r="G29" s="12" t="s">
        <v>35</v>
      </c>
      <c r="H29" s="12" t="s">
        <v>35</v>
      </c>
      <c r="I29" s="11" t="s">
        <v>139</v>
      </c>
      <c r="J29" s="12" t="s">
        <v>140</v>
      </c>
      <c r="K29" s="13" t="s">
        <v>38</v>
      </c>
      <c r="L29" s="11" t="str">
        <f>"000112"</f>
        <v>000112</v>
      </c>
      <c r="M29" s="10">
        <v>42762</v>
      </c>
      <c r="N29" s="11" t="str">
        <f>"000195"</f>
        <v>000195</v>
      </c>
      <c r="O29" s="10">
        <v>42825</v>
      </c>
      <c r="P29" s="11" t="str">
        <f>"000713"</f>
        <v>000713</v>
      </c>
      <c r="Q29" s="10">
        <v>42825</v>
      </c>
      <c r="R29" s="11">
        <v>16</v>
      </c>
      <c r="S29" s="11" t="str">
        <f>"005428"</f>
        <v>005428</v>
      </c>
      <c r="T29" s="10">
        <v>43340</v>
      </c>
      <c r="U29" s="14">
        <v>39.361280000000001</v>
      </c>
      <c r="V29" s="14">
        <v>2.87913</v>
      </c>
      <c r="W29" s="14">
        <v>36.482149999999997</v>
      </c>
      <c r="X29" s="11">
        <v>193</v>
      </c>
      <c r="Y29" s="10">
        <v>43346</v>
      </c>
      <c r="Z29" s="11">
        <v>9880466655</v>
      </c>
      <c r="AA29" s="12" t="s">
        <v>141</v>
      </c>
      <c r="AB29" s="11" t="s">
        <v>89</v>
      </c>
      <c r="AC29" s="12" t="s">
        <v>90</v>
      </c>
      <c r="AD29" s="11" t="s">
        <v>42</v>
      </c>
      <c r="AE29" s="12" t="s">
        <v>43</v>
      </c>
      <c r="AF29" s="14">
        <f t="shared" si="0"/>
        <v>0.39361279999999998</v>
      </c>
      <c r="AG29" s="11" t="s">
        <v>44</v>
      </c>
    </row>
    <row r="30" spans="1:33" x14ac:dyDescent="0.2">
      <c r="A30" s="8">
        <v>5176</v>
      </c>
      <c r="B30" s="9" t="s">
        <v>135</v>
      </c>
      <c r="C30" s="10">
        <v>43346</v>
      </c>
      <c r="D30" s="11">
        <v>15</v>
      </c>
      <c r="E30" s="12" t="s">
        <v>34</v>
      </c>
      <c r="F30" s="12" t="s">
        <v>34</v>
      </c>
      <c r="G30" s="12" t="s">
        <v>35</v>
      </c>
      <c r="H30" s="12" t="s">
        <v>35</v>
      </c>
      <c r="I30" s="11" t="s">
        <v>142</v>
      </c>
      <c r="J30" s="12" t="s">
        <v>143</v>
      </c>
      <c r="K30" s="13" t="s">
        <v>38</v>
      </c>
      <c r="L30" s="11" t="str">
        <f>"000113"</f>
        <v>000113</v>
      </c>
      <c r="M30" s="10">
        <v>42762</v>
      </c>
      <c r="N30" s="11" t="str">
        <f>"000196"</f>
        <v>000196</v>
      </c>
      <c r="O30" s="10">
        <v>42825</v>
      </c>
      <c r="P30" s="11" t="str">
        <f>"000714"</f>
        <v>000714</v>
      </c>
      <c r="Q30" s="10">
        <v>42825</v>
      </c>
      <c r="R30" s="11">
        <v>16</v>
      </c>
      <c r="S30" s="11" t="str">
        <f>"005429"</f>
        <v>005429</v>
      </c>
      <c r="T30" s="10">
        <v>43340</v>
      </c>
      <c r="U30" s="14">
        <v>39.369309999999999</v>
      </c>
      <c r="V30" s="14">
        <v>2.8361700000000001</v>
      </c>
      <c r="W30" s="14">
        <v>36.533140000000003</v>
      </c>
      <c r="X30" s="11">
        <v>193</v>
      </c>
      <c r="Y30" s="10">
        <v>43346</v>
      </c>
      <c r="Z30" s="11">
        <v>9986020978</v>
      </c>
      <c r="AA30" s="12" t="s">
        <v>141</v>
      </c>
      <c r="AB30" s="11" t="s">
        <v>89</v>
      </c>
      <c r="AC30" s="12" t="s">
        <v>90</v>
      </c>
      <c r="AD30" s="11" t="s">
        <v>42</v>
      </c>
      <c r="AE30" s="12" t="s">
        <v>43</v>
      </c>
      <c r="AF30" s="14">
        <f t="shared" si="0"/>
        <v>0.39369309999999996</v>
      </c>
      <c r="AG30" s="11" t="s">
        <v>44</v>
      </c>
    </row>
    <row r="31" spans="1:33" x14ac:dyDescent="0.2">
      <c r="A31" s="8">
        <v>5177</v>
      </c>
      <c r="B31" s="9" t="s">
        <v>135</v>
      </c>
      <c r="C31" s="10">
        <v>43346</v>
      </c>
      <c r="D31" s="11">
        <v>15</v>
      </c>
      <c r="E31" s="12" t="s">
        <v>34</v>
      </c>
      <c r="F31" s="12" t="s">
        <v>34</v>
      </c>
      <c r="G31" s="12" t="s">
        <v>35</v>
      </c>
      <c r="H31" s="12" t="s">
        <v>35</v>
      </c>
      <c r="I31" s="11" t="s">
        <v>144</v>
      </c>
      <c r="J31" s="12" t="s">
        <v>145</v>
      </c>
      <c r="K31" s="13" t="s">
        <v>38</v>
      </c>
      <c r="L31" s="11" t="str">
        <f>"000111"</f>
        <v>000111</v>
      </c>
      <c r="M31" s="10">
        <v>42762</v>
      </c>
      <c r="N31" s="11" t="str">
        <f>"000197"</f>
        <v>000197</v>
      </c>
      <c r="O31" s="10">
        <v>42825</v>
      </c>
      <c r="P31" s="11" t="str">
        <f>"000715"</f>
        <v>000715</v>
      </c>
      <c r="Q31" s="10">
        <v>42825</v>
      </c>
      <c r="R31" s="11">
        <v>16</v>
      </c>
      <c r="S31" s="11" t="str">
        <f>"005431"</f>
        <v>005431</v>
      </c>
      <c r="T31" s="10">
        <v>43340</v>
      </c>
      <c r="U31" s="14">
        <v>38.37379</v>
      </c>
      <c r="V31" s="14">
        <v>2.8204799999999999</v>
      </c>
      <c r="W31" s="14">
        <v>35.553310000000003</v>
      </c>
      <c r="X31" s="11">
        <v>193</v>
      </c>
      <c r="Y31" s="10">
        <v>43346</v>
      </c>
      <c r="Z31" s="11">
        <v>9880466655</v>
      </c>
      <c r="AA31" s="12" t="s">
        <v>146</v>
      </c>
      <c r="AB31" s="11" t="s">
        <v>89</v>
      </c>
      <c r="AC31" s="12" t="s">
        <v>90</v>
      </c>
      <c r="AD31" s="11" t="s">
        <v>42</v>
      </c>
      <c r="AE31" s="12" t="s">
        <v>43</v>
      </c>
      <c r="AF31" s="14">
        <f t="shared" si="0"/>
        <v>0.38373790000000002</v>
      </c>
      <c r="AG31" s="11" t="s">
        <v>44</v>
      </c>
    </row>
    <row r="32" spans="1:33" x14ac:dyDescent="0.2">
      <c r="A32" s="8">
        <v>5533</v>
      </c>
      <c r="B32" s="9" t="s">
        <v>135</v>
      </c>
      <c r="C32" s="10">
        <v>43362</v>
      </c>
      <c r="D32" s="11">
        <v>15</v>
      </c>
      <c r="E32" s="12" t="s">
        <v>34</v>
      </c>
      <c r="F32" s="12" t="s">
        <v>34</v>
      </c>
      <c r="G32" s="12" t="s">
        <v>35</v>
      </c>
      <c r="H32" s="12" t="s">
        <v>35</v>
      </c>
      <c r="I32" s="11" t="s">
        <v>147</v>
      </c>
      <c r="J32" s="12" t="s">
        <v>148</v>
      </c>
      <c r="K32" s="13" t="s">
        <v>74</v>
      </c>
      <c r="L32" s="11" t="str">
        <f>"000260"</f>
        <v>000260</v>
      </c>
      <c r="M32" s="10">
        <v>41685</v>
      </c>
      <c r="N32" s="11" t="str">
        <f>"00070a"</f>
        <v>00070a</v>
      </c>
      <c r="O32" s="10">
        <v>42550</v>
      </c>
      <c r="P32" s="11" t="str">
        <f>"000507"</f>
        <v>000507</v>
      </c>
      <c r="Q32" s="10">
        <v>42671</v>
      </c>
      <c r="R32" s="11">
        <v>14</v>
      </c>
      <c r="S32" s="11" t="str">
        <f>"005590"</f>
        <v>005590</v>
      </c>
      <c r="T32" s="10">
        <v>43347</v>
      </c>
      <c r="U32" s="14">
        <v>11.96855</v>
      </c>
      <c r="V32" s="14">
        <v>0.25135000000000002</v>
      </c>
      <c r="W32" s="14">
        <v>11.7172</v>
      </c>
      <c r="X32" s="11">
        <v>207</v>
      </c>
      <c r="Y32" s="10">
        <v>43362</v>
      </c>
      <c r="Z32" s="11">
        <v>8884965645</v>
      </c>
      <c r="AA32" s="12" t="s">
        <v>149</v>
      </c>
      <c r="AB32" s="11" t="s">
        <v>40</v>
      </c>
      <c r="AC32" s="12" t="s">
        <v>41</v>
      </c>
      <c r="AD32" s="11" t="s">
        <v>42</v>
      </c>
      <c r="AE32" s="12" t="s">
        <v>43</v>
      </c>
      <c r="AF32" s="14">
        <f t="shared" si="0"/>
        <v>0.1196855</v>
      </c>
      <c r="AG32" s="11" t="s">
        <v>44</v>
      </c>
    </row>
    <row r="33" spans="1:33" x14ac:dyDescent="0.2">
      <c r="A33" s="8">
        <v>5930</v>
      </c>
      <c r="B33" s="9" t="s">
        <v>150</v>
      </c>
      <c r="C33" s="10">
        <v>43385</v>
      </c>
      <c r="D33" s="11">
        <v>15</v>
      </c>
      <c r="E33" s="12" t="s">
        <v>34</v>
      </c>
      <c r="F33" s="12" t="s">
        <v>34</v>
      </c>
      <c r="G33" s="12" t="s">
        <v>35</v>
      </c>
      <c r="H33" s="12" t="s">
        <v>35</v>
      </c>
      <c r="I33" s="11" t="s">
        <v>151</v>
      </c>
      <c r="J33" s="12" t="s">
        <v>152</v>
      </c>
      <c r="K33" s="13" t="s">
        <v>74</v>
      </c>
      <c r="L33" s="11" t="str">
        <f>"000002"</f>
        <v>000002</v>
      </c>
      <c r="M33" s="10">
        <v>42831</v>
      </c>
      <c r="N33" s="11" t="str">
        <f>"000009"</f>
        <v>000009</v>
      </c>
      <c r="O33" s="10">
        <v>42853</v>
      </c>
      <c r="P33" s="11" t="str">
        <f>"000037"</f>
        <v>000037</v>
      </c>
      <c r="Q33" s="10">
        <v>42853</v>
      </c>
      <c r="R33" s="11">
        <v>17</v>
      </c>
      <c r="S33" s="11" t="str">
        <f>"006028"</f>
        <v>006028</v>
      </c>
      <c r="T33" s="10">
        <v>43374</v>
      </c>
      <c r="U33" s="14">
        <v>8.4948499999999996</v>
      </c>
      <c r="V33" s="14">
        <v>0.64117999999999997</v>
      </c>
      <c r="W33" s="14">
        <v>7.8536700000000002</v>
      </c>
      <c r="X33" s="11">
        <v>230</v>
      </c>
      <c r="Y33" s="10">
        <v>43385</v>
      </c>
      <c r="Z33" s="11">
        <v>9663852119</v>
      </c>
      <c r="AA33" s="12" t="s">
        <v>153</v>
      </c>
      <c r="AB33" s="11" t="s">
        <v>40</v>
      </c>
      <c r="AC33" s="12" t="s">
        <v>41</v>
      </c>
      <c r="AD33" s="11" t="s">
        <v>42</v>
      </c>
      <c r="AE33" s="12" t="s">
        <v>43</v>
      </c>
      <c r="AF33" s="14">
        <f t="shared" si="0"/>
        <v>8.4948499999999996E-2</v>
      </c>
      <c r="AG33" s="11" t="s">
        <v>44</v>
      </c>
    </row>
    <row r="34" spans="1:33" x14ac:dyDescent="0.2">
      <c r="A34" s="8">
        <v>5931</v>
      </c>
      <c r="B34" s="9" t="s">
        <v>150</v>
      </c>
      <c r="C34" s="10">
        <v>43385</v>
      </c>
      <c r="D34" s="11">
        <v>15</v>
      </c>
      <c r="E34" s="12" t="s">
        <v>34</v>
      </c>
      <c r="F34" s="12" t="s">
        <v>34</v>
      </c>
      <c r="G34" s="12" t="s">
        <v>35</v>
      </c>
      <c r="H34" s="12" t="s">
        <v>35</v>
      </c>
      <c r="I34" s="11" t="s">
        <v>154</v>
      </c>
      <c r="J34" s="12" t="s">
        <v>155</v>
      </c>
      <c r="K34" s="13" t="s">
        <v>38</v>
      </c>
      <c r="L34" s="11" t="str">
        <f>"000001"</f>
        <v>000001</v>
      </c>
      <c r="M34" s="10">
        <v>42831</v>
      </c>
      <c r="N34" s="11" t="str">
        <f>"000010"</f>
        <v>000010</v>
      </c>
      <c r="O34" s="10">
        <v>42853</v>
      </c>
      <c r="P34" s="11" t="str">
        <f>"000038"</f>
        <v>000038</v>
      </c>
      <c r="Q34" s="10">
        <v>42853</v>
      </c>
      <c r="R34" s="11">
        <v>16</v>
      </c>
      <c r="S34" s="11" t="str">
        <f>"006066"</f>
        <v>006066</v>
      </c>
      <c r="T34" s="10">
        <v>43374</v>
      </c>
      <c r="U34" s="14">
        <v>38.752719999999997</v>
      </c>
      <c r="V34" s="14">
        <v>2.8583400000000001</v>
      </c>
      <c r="W34" s="14">
        <v>35.894379999999998</v>
      </c>
      <c r="X34" s="11">
        <v>230</v>
      </c>
      <c r="Y34" s="10">
        <v>43385</v>
      </c>
      <c r="Z34" s="11">
        <v>9448542267</v>
      </c>
      <c r="AA34" s="12" t="s">
        <v>156</v>
      </c>
      <c r="AB34" s="11" t="s">
        <v>89</v>
      </c>
      <c r="AC34" s="12" t="s">
        <v>90</v>
      </c>
      <c r="AD34" s="11" t="s">
        <v>42</v>
      </c>
      <c r="AE34" s="12" t="s">
        <v>43</v>
      </c>
      <c r="AF34" s="14">
        <f t="shared" si="0"/>
        <v>0.38752719999999996</v>
      </c>
      <c r="AG34" s="11" t="s">
        <v>44</v>
      </c>
    </row>
    <row r="35" spans="1:33" x14ac:dyDescent="0.2">
      <c r="A35" s="8">
        <v>5932</v>
      </c>
      <c r="B35" s="9" t="s">
        <v>150</v>
      </c>
      <c r="C35" s="10">
        <v>43385</v>
      </c>
      <c r="D35" s="11">
        <v>15</v>
      </c>
      <c r="E35" s="12" t="s">
        <v>34</v>
      </c>
      <c r="F35" s="12" t="s">
        <v>34</v>
      </c>
      <c r="G35" s="12" t="s">
        <v>35</v>
      </c>
      <c r="H35" s="12" t="s">
        <v>35</v>
      </c>
      <c r="I35" s="11" t="s">
        <v>157</v>
      </c>
      <c r="J35" s="12" t="s">
        <v>158</v>
      </c>
      <c r="K35" s="13" t="s">
        <v>38</v>
      </c>
      <c r="L35" s="11" t="str">
        <f>"000045"</f>
        <v>000045</v>
      </c>
      <c r="M35" s="10">
        <v>42453</v>
      </c>
      <c r="N35" s="11" t="str">
        <f>"000093"</f>
        <v>000093</v>
      </c>
      <c r="O35" s="10">
        <v>42585</v>
      </c>
      <c r="P35" s="11" t="str">
        <f>"000444"</f>
        <v>000444</v>
      </c>
      <c r="Q35" s="10">
        <v>42642</v>
      </c>
      <c r="R35" s="11">
        <v>16</v>
      </c>
      <c r="S35" s="11" t="str">
        <f>"006092"</f>
        <v>006092</v>
      </c>
      <c r="T35" s="10">
        <v>43374</v>
      </c>
      <c r="U35" s="14">
        <v>11.68817</v>
      </c>
      <c r="V35" s="14">
        <v>0.92547999999999997</v>
      </c>
      <c r="W35" s="14">
        <v>10.762689999999999</v>
      </c>
      <c r="X35" s="11">
        <v>231</v>
      </c>
      <c r="Y35" s="10">
        <v>43385</v>
      </c>
      <c r="Z35" s="11">
        <v>9889219009</v>
      </c>
      <c r="AA35" s="12" t="s">
        <v>159</v>
      </c>
      <c r="AB35" s="11" t="s">
        <v>40</v>
      </c>
      <c r="AC35" s="12" t="s">
        <v>41</v>
      </c>
      <c r="AD35" s="11" t="s">
        <v>42</v>
      </c>
      <c r="AE35" s="12" t="s">
        <v>43</v>
      </c>
      <c r="AF35" s="14">
        <f t="shared" si="0"/>
        <v>0.11688169999999999</v>
      </c>
      <c r="AG35" s="11" t="s">
        <v>44</v>
      </c>
    </row>
    <row r="36" spans="1:33" x14ac:dyDescent="0.2">
      <c r="A36" s="8">
        <v>7192</v>
      </c>
      <c r="B36" s="9" t="s">
        <v>160</v>
      </c>
      <c r="C36" s="10">
        <v>43420</v>
      </c>
      <c r="D36" s="11">
        <v>15</v>
      </c>
      <c r="E36" s="12" t="s">
        <v>34</v>
      </c>
      <c r="F36" s="12" t="s">
        <v>34</v>
      </c>
      <c r="G36" s="12" t="s">
        <v>35</v>
      </c>
      <c r="H36" s="12" t="s">
        <v>35</v>
      </c>
      <c r="I36" s="11" t="s">
        <v>161</v>
      </c>
      <c r="J36" s="12" t="s">
        <v>162</v>
      </c>
      <c r="K36" s="13" t="s">
        <v>74</v>
      </c>
      <c r="L36" s="11" t="str">
        <f>"000011"</f>
        <v>000011</v>
      </c>
      <c r="M36" s="10">
        <v>42872</v>
      </c>
      <c r="N36" s="11" t="str">
        <f>"000006"</f>
        <v>000006</v>
      </c>
      <c r="O36" s="10">
        <v>42884</v>
      </c>
      <c r="P36" s="11" t="str">
        <f>"000006"</f>
        <v>000006</v>
      </c>
      <c r="Q36" s="10">
        <v>42885</v>
      </c>
      <c r="R36" s="11">
        <v>17</v>
      </c>
      <c r="S36" s="11" t="str">
        <f>"007281"</f>
        <v>007281</v>
      </c>
      <c r="T36" s="10">
        <v>43407</v>
      </c>
      <c r="U36" s="14">
        <v>3.4231600000000002</v>
      </c>
      <c r="V36" s="14">
        <v>0.24315999999999999</v>
      </c>
      <c r="W36" s="14">
        <v>3.18</v>
      </c>
      <c r="X36" s="11">
        <v>266</v>
      </c>
      <c r="Y36" s="10">
        <v>43420</v>
      </c>
      <c r="Z36" s="11">
        <v>9740808047</v>
      </c>
      <c r="AA36" s="12" t="s">
        <v>163</v>
      </c>
      <c r="AB36" s="11" t="s">
        <v>40</v>
      </c>
      <c r="AC36" s="12" t="s">
        <v>41</v>
      </c>
      <c r="AD36" s="11" t="s">
        <v>113</v>
      </c>
      <c r="AE36" s="12" t="s">
        <v>114</v>
      </c>
      <c r="AF36" s="14">
        <f t="shared" si="0"/>
        <v>3.4231600000000001E-2</v>
      </c>
      <c r="AG36" s="11" t="s">
        <v>44</v>
      </c>
    </row>
    <row r="37" spans="1:33" x14ac:dyDescent="0.2">
      <c r="A37" s="8">
        <v>7193</v>
      </c>
      <c r="B37" s="9" t="s">
        <v>160</v>
      </c>
      <c r="C37" s="10">
        <v>43420</v>
      </c>
      <c r="D37" s="11">
        <v>15</v>
      </c>
      <c r="E37" s="12" t="s">
        <v>34</v>
      </c>
      <c r="F37" s="12" t="s">
        <v>34</v>
      </c>
      <c r="G37" s="12" t="s">
        <v>35</v>
      </c>
      <c r="H37" s="12" t="s">
        <v>35</v>
      </c>
      <c r="I37" s="11" t="s">
        <v>164</v>
      </c>
      <c r="J37" s="12" t="s">
        <v>165</v>
      </c>
      <c r="K37" s="13" t="s">
        <v>74</v>
      </c>
      <c r="L37" s="11" t="str">
        <f>"000146"</f>
        <v>000146</v>
      </c>
      <c r="M37" s="10">
        <v>42818</v>
      </c>
      <c r="N37" s="11" t="str">
        <f>"000032"</f>
        <v>000032</v>
      </c>
      <c r="O37" s="10">
        <v>42885</v>
      </c>
      <c r="P37" s="11" t="str">
        <f>"000095"</f>
        <v>000095</v>
      </c>
      <c r="Q37" s="10">
        <v>42885</v>
      </c>
      <c r="R37" s="11">
        <v>17</v>
      </c>
      <c r="S37" s="11" t="str">
        <f>"007284"</f>
        <v>007284</v>
      </c>
      <c r="T37" s="10">
        <v>43407</v>
      </c>
      <c r="U37" s="14">
        <v>9.7205999999999992</v>
      </c>
      <c r="V37" s="14">
        <v>0.70438000000000001</v>
      </c>
      <c r="W37" s="14">
        <v>9.0162200000000006</v>
      </c>
      <c r="X37" s="11">
        <v>266</v>
      </c>
      <c r="Y37" s="10">
        <v>43420</v>
      </c>
      <c r="Z37" s="11">
        <v>8970389692</v>
      </c>
      <c r="AA37" s="12" t="s">
        <v>166</v>
      </c>
      <c r="AB37" s="11" t="s">
        <v>40</v>
      </c>
      <c r="AC37" s="12" t="s">
        <v>41</v>
      </c>
      <c r="AD37" s="11" t="s">
        <v>42</v>
      </c>
      <c r="AE37" s="12" t="s">
        <v>43</v>
      </c>
      <c r="AF37" s="14">
        <f t="shared" si="0"/>
        <v>9.7205999999999987E-2</v>
      </c>
      <c r="AG37" s="11" t="s">
        <v>44</v>
      </c>
    </row>
    <row r="38" spans="1:33" x14ac:dyDescent="0.2">
      <c r="A38" s="8">
        <v>7654</v>
      </c>
      <c r="B38" s="9" t="s">
        <v>167</v>
      </c>
      <c r="C38" s="10">
        <v>43441</v>
      </c>
      <c r="D38" s="11">
        <v>15</v>
      </c>
      <c r="E38" s="12" t="s">
        <v>34</v>
      </c>
      <c r="F38" s="12" t="s">
        <v>34</v>
      </c>
      <c r="G38" s="12" t="s">
        <v>35</v>
      </c>
      <c r="H38" s="12" t="s">
        <v>35</v>
      </c>
      <c r="I38" s="11" t="s">
        <v>168</v>
      </c>
      <c r="J38" s="12" t="s">
        <v>169</v>
      </c>
      <c r="K38" s="13" t="s">
        <v>170</v>
      </c>
      <c r="L38" s="11" t="str">
        <f>"000120"</f>
        <v>000120</v>
      </c>
      <c r="M38" s="10">
        <v>42763</v>
      </c>
      <c r="N38" s="11" t="str">
        <f>"000065"</f>
        <v>000065</v>
      </c>
      <c r="O38" s="10">
        <v>43362</v>
      </c>
      <c r="P38" s="11" t="str">
        <f>"000197"</f>
        <v>000197</v>
      </c>
      <c r="Q38" s="10">
        <v>43368</v>
      </c>
      <c r="R38" s="11">
        <v>16</v>
      </c>
      <c r="S38" s="11" t="str">
        <f>"007698"</f>
        <v>007698</v>
      </c>
      <c r="T38" s="10">
        <v>43438</v>
      </c>
      <c r="U38" s="14">
        <v>6.7838799999999999</v>
      </c>
      <c r="V38" s="14">
        <v>0.22961000000000001</v>
      </c>
      <c r="W38" s="14">
        <v>6.5542699999999998</v>
      </c>
      <c r="X38" s="11">
        <v>287</v>
      </c>
      <c r="Y38" s="10">
        <v>43441</v>
      </c>
      <c r="Z38" s="11">
        <v>9481481790</v>
      </c>
      <c r="AA38" s="12" t="s">
        <v>171</v>
      </c>
      <c r="AB38" s="11" t="s">
        <v>84</v>
      </c>
      <c r="AC38" s="12" t="s">
        <v>85</v>
      </c>
      <c r="AD38" s="11" t="s">
        <v>42</v>
      </c>
      <c r="AE38" s="12" t="s">
        <v>43</v>
      </c>
      <c r="AF38" s="14">
        <f t="shared" si="0"/>
        <v>6.7838800000000005E-2</v>
      </c>
      <c r="AG38" s="11" t="s">
        <v>77</v>
      </c>
    </row>
    <row r="39" spans="1:33" x14ac:dyDescent="0.2">
      <c r="A39" s="8">
        <v>7963</v>
      </c>
      <c r="B39" s="9" t="s">
        <v>167</v>
      </c>
      <c r="C39" s="10">
        <v>43455</v>
      </c>
      <c r="D39" s="11">
        <v>15</v>
      </c>
      <c r="E39" s="12" t="s">
        <v>34</v>
      </c>
      <c r="F39" s="12" t="s">
        <v>34</v>
      </c>
      <c r="G39" s="12" t="s">
        <v>35</v>
      </c>
      <c r="H39" s="12" t="s">
        <v>35</v>
      </c>
      <c r="I39" s="11" t="s">
        <v>172</v>
      </c>
      <c r="J39" s="12" t="s">
        <v>173</v>
      </c>
      <c r="K39" s="13" t="s">
        <v>74</v>
      </c>
      <c r="L39" s="11" t="str">
        <f>"000046"</f>
        <v>000046</v>
      </c>
      <c r="M39" s="10">
        <v>42851</v>
      </c>
      <c r="N39" s="11" t="str">
        <f>"000031"</f>
        <v>000031</v>
      </c>
      <c r="O39" s="10">
        <v>42885</v>
      </c>
      <c r="P39" s="11" t="str">
        <f>"000093"</f>
        <v>000093</v>
      </c>
      <c r="Q39" s="10">
        <v>42886</v>
      </c>
      <c r="R39" s="11">
        <v>17</v>
      </c>
      <c r="S39" s="11" t="str">
        <f>"007735"</f>
        <v>007735</v>
      </c>
      <c r="T39" s="10">
        <v>43441</v>
      </c>
      <c r="U39" s="14">
        <v>17.571660000000001</v>
      </c>
      <c r="V39" s="14">
        <v>1.29158</v>
      </c>
      <c r="W39" s="14">
        <v>16.280080000000002</v>
      </c>
      <c r="X39" s="11">
        <v>301</v>
      </c>
      <c r="Y39" s="10">
        <v>43455</v>
      </c>
      <c r="Z39" s="11">
        <v>9591836710</v>
      </c>
      <c r="AA39" s="12" t="s">
        <v>174</v>
      </c>
      <c r="AB39" s="11" t="s">
        <v>40</v>
      </c>
      <c r="AC39" s="12" t="s">
        <v>41</v>
      </c>
      <c r="AD39" s="11" t="s">
        <v>42</v>
      </c>
      <c r="AE39" s="12" t="s">
        <v>43</v>
      </c>
      <c r="AF39" s="14">
        <f t="shared" si="0"/>
        <v>0.1757166</v>
      </c>
      <c r="AG39" s="11" t="s">
        <v>44</v>
      </c>
    </row>
    <row r="40" spans="1:33" x14ac:dyDescent="0.2">
      <c r="A40" s="8">
        <v>8512</v>
      </c>
      <c r="B40" s="9" t="s">
        <v>175</v>
      </c>
      <c r="C40" s="10">
        <v>43475</v>
      </c>
      <c r="D40" s="11">
        <v>15</v>
      </c>
      <c r="E40" s="12" t="s">
        <v>34</v>
      </c>
      <c r="F40" s="12" t="s">
        <v>34</v>
      </c>
      <c r="G40" s="12" t="s">
        <v>35</v>
      </c>
      <c r="H40" s="12" t="s">
        <v>35</v>
      </c>
      <c r="I40" s="11" t="s">
        <v>176</v>
      </c>
      <c r="J40" s="12" t="s">
        <v>177</v>
      </c>
      <c r="K40" s="13" t="s">
        <v>74</v>
      </c>
      <c r="L40" s="11" t="str">
        <f>"000067"</f>
        <v>000067</v>
      </c>
      <c r="M40" s="10">
        <v>42866</v>
      </c>
      <c r="N40" s="11" t="str">
        <f>"000005"</f>
        <v>000005</v>
      </c>
      <c r="O40" s="10">
        <v>42989</v>
      </c>
      <c r="P40" s="11" t="str">
        <f>"000007"</f>
        <v>000007</v>
      </c>
      <c r="Q40" s="10">
        <v>42990</v>
      </c>
      <c r="R40" s="11"/>
      <c r="S40" s="11" t="str">
        <f>"008136"</f>
        <v>008136</v>
      </c>
      <c r="T40" s="10">
        <v>43455</v>
      </c>
      <c r="U40" s="14">
        <v>9.3381600000000002</v>
      </c>
      <c r="V40" s="14">
        <v>0.1961</v>
      </c>
      <c r="W40" s="14">
        <v>9.1420600000000007</v>
      </c>
      <c r="X40" s="11">
        <v>320</v>
      </c>
      <c r="Y40" s="10">
        <v>43475</v>
      </c>
      <c r="Z40" s="11">
        <v>9901829745</v>
      </c>
      <c r="AA40" s="12" t="s">
        <v>178</v>
      </c>
      <c r="AB40" s="11" t="s">
        <v>40</v>
      </c>
      <c r="AC40" s="12" t="s">
        <v>41</v>
      </c>
      <c r="AD40" s="11" t="s">
        <v>42</v>
      </c>
      <c r="AE40" s="12" t="s">
        <v>43</v>
      </c>
      <c r="AF40" s="14">
        <f t="shared" si="0"/>
        <v>9.3381600000000009E-2</v>
      </c>
      <c r="AG40" s="11" t="s">
        <v>44</v>
      </c>
    </row>
    <row r="41" spans="1:33" x14ac:dyDescent="0.2">
      <c r="A41" s="8">
        <v>9036</v>
      </c>
      <c r="B41" s="9" t="s">
        <v>179</v>
      </c>
      <c r="C41" s="10">
        <v>43503</v>
      </c>
      <c r="D41" s="11">
        <v>15</v>
      </c>
      <c r="E41" s="12" t="s">
        <v>34</v>
      </c>
      <c r="F41" s="12" t="s">
        <v>34</v>
      </c>
      <c r="G41" s="12" t="s">
        <v>35</v>
      </c>
      <c r="H41" s="12" t="s">
        <v>35</v>
      </c>
      <c r="I41" s="11" t="s">
        <v>180</v>
      </c>
      <c r="J41" s="12" t="s">
        <v>181</v>
      </c>
      <c r="K41" s="13" t="s">
        <v>182</v>
      </c>
      <c r="L41" s="11" t="str">
        <f>"000264"</f>
        <v>000264</v>
      </c>
      <c r="M41" s="10">
        <v>43441</v>
      </c>
      <c r="N41" s="11" t="str">
        <f>"000088"</f>
        <v>000088</v>
      </c>
      <c r="O41" s="10">
        <v>43448</v>
      </c>
      <c r="P41" s="11" t="str">
        <f>"000257"</f>
        <v>000257</v>
      </c>
      <c r="Q41" s="10">
        <v>43456</v>
      </c>
      <c r="R41" s="11"/>
      <c r="S41" s="11" t="str">
        <f>"009085"</f>
        <v>009085</v>
      </c>
      <c r="T41" s="10">
        <v>43502</v>
      </c>
      <c r="U41" s="14">
        <v>2.9607000000000001</v>
      </c>
      <c r="V41" s="14">
        <v>0.11504</v>
      </c>
      <c r="W41" s="14">
        <v>2.8456600000000001</v>
      </c>
      <c r="X41" s="11">
        <v>345</v>
      </c>
      <c r="Y41" s="10">
        <v>43503</v>
      </c>
      <c r="Z41" s="11">
        <v>8197839023</v>
      </c>
      <c r="AA41" s="12" t="s">
        <v>183</v>
      </c>
      <c r="AB41" s="11" t="s">
        <v>184</v>
      </c>
      <c r="AC41" s="12" t="s">
        <v>185</v>
      </c>
      <c r="AD41" s="11" t="s">
        <v>42</v>
      </c>
      <c r="AE41" s="12" t="s">
        <v>43</v>
      </c>
      <c r="AF41" s="14">
        <f t="shared" si="0"/>
        <v>2.9607000000000001E-2</v>
      </c>
      <c r="AG41" s="11" t="s">
        <v>186</v>
      </c>
    </row>
    <row r="42" spans="1:33" x14ac:dyDescent="0.2">
      <c r="A42" s="8">
        <v>9123</v>
      </c>
      <c r="B42" s="9" t="s">
        <v>179</v>
      </c>
      <c r="C42" s="10">
        <v>43508</v>
      </c>
      <c r="D42" s="11">
        <v>15</v>
      </c>
      <c r="E42" s="12" t="s">
        <v>34</v>
      </c>
      <c r="F42" s="12" t="s">
        <v>34</v>
      </c>
      <c r="G42" s="12" t="s">
        <v>35</v>
      </c>
      <c r="H42" s="12" t="s">
        <v>35</v>
      </c>
      <c r="I42" s="11" t="s">
        <v>187</v>
      </c>
      <c r="J42" s="12" t="s">
        <v>188</v>
      </c>
      <c r="K42" s="13" t="s">
        <v>74</v>
      </c>
      <c r="L42" s="11" t="str">
        <f>"000045"</f>
        <v>000045</v>
      </c>
      <c r="M42" s="10">
        <v>42851</v>
      </c>
      <c r="N42" s="11" t="str">
        <f>"000049"</f>
        <v>000049</v>
      </c>
      <c r="O42" s="10">
        <v>42905</v>
      </c>
      <c r="P42" s="11" t="str">
        <f>"000112"</f>
        <v>000112</v>
      </c>
      <c r="Q42" s="10">
        <v>42914</v>
      </c>
      <c r="R42" s="11"/>
      <c r="S42" s="11" t="str">
        <f>"009169"</f>
        <v>009169</v>
      </c>
      <c r="T42" s="10">
        <v>43503</v>
      </c>
      <c r="U42" s="14">
        <v>18.084160000000001</v>
      </c>
      <c r="V42" s="14">
        <v>1.3013300000000001</v>
      </c>
      <c r="W42" s="14">
        <v>16.782830000000001</v>
      </c>
      <c r="X42" s="11">
        <v>349</v>
      </c>
      <c r="Y42" s="10">
        <v>43508</v>
      </c>
      <c r="Z42" s="11">
        <v>9845187283</v>
      </c>
      <c r="AA42" s="12" t="s">
        <v>189</v>
      </c>
      <c r="AB42" s="11" t="s">
        <v>40</v>
      </c>
      <c r="AC42" s="12" t="s">
        <v>41</v>
      </c>
      <c r="AD42" s="11" t="s">
        <v>42</v>
      </c>
      <c r="AE42" s="12" t="s">
        <v>43</v>
      </c>
      <c r="AF42" s="14">
        <f t="shared" si="0"/>
        <v>0.18084160000000002</v>
      </c>
      <c r="AG42" s="11" t="s">
        <v>44</v>
      </c>
    </row>
    <row r="43" spans="1:33" x14ac:dyDescent="0.2">
      <c r="A43" s="8">
        <v>9397</v>
      </c>
      <c r="B43" s="9" t="s">
        <v>179</v>
      </c>
      <c r="C43" s="10">
        <v>43522</v>
      </c>
      <c r="D43" s="11">
        <v>15</v>
      </c>
      <c r="E43" s="12" t="s">
        <v>34</v>
      </c>
      <c r="F43" s="12" t="s">
        <v>34</v>
      </c>
      <c r="G43" s="12" t="s">
        <v>35</v>
      </c>
      <c r="H43" s="12" t="s">
        <v>35</v>
      </c>
      <c r="I43" s="11" t="s">
        <v>190</v>
      </c>
      <c r="J43" s="12" t="s">
        <v>191</v>
      </c>
      <c r="K43" s="13" t="s">
        <v>38</v>
      </c>
      <c r="L43" s="11" t="str">
        <f>"000003"</f>
        <v>000003</v>
      </c>
      <c r="M43" s="10">
        <v>42954</v>
      </c>
      <c r="N43" s="11" t="str">
        <f>"000014"</f>
        <v>000014</v>
      </c>
      <c r="O43" s="10">
        <v>43011</v>
      </c>
      <c r="P43" s="11" t="str">
        <f>"000018"</f>
        <v>000018</v>
      </c>
      <c r="Q43" s="10">
        <v>43011</v>
      </c>
      <c r="R43" s="11"/>
      <c r="S43" s="11" t="str">
        <f>"006435"</f>
        <v>006435</v>
      </c>
      <c r="T43" s="10">
        <v>43382</v>
      </c>
      <c r="U43" s="14">
        <v>14.998900000000001</v>
      </c>
      <c r="V43" s="14">
        <v>0.50246999999999997</v>
      </c>
      <c r="W43" s="14">
        <v>14.49643</v>
      </c>
      <c r="X43" s="11">
        <v>361</v>
      </c>
      <c r="Y43" s="10">
        <v>43522</v>
      </c>
      <c r="Z43" s="11">
        <v>8970389692</v>
      </c>
      <c r="AA43" s="12" t="s">
        <v>192</v>
      </c>
      <c r="AB43" s="11" t="s">
        <v>40</v>
      </c>
      <c r="AC43" s="12" t="s">
        <v>41</v>
      </c>
      <c r="AD43" s="11" t="s">
        <v>42</v>
      </c>
      <c r="AE43" s="12" t="s">
        <v>43</v>
      </c>
      <c r="AF43" s="14">
        <f t="shared" si="0"/>
        <v>0.14998900000000001</v>
      </c>
      <c r="AG43" s="11" t="s">
        <v>44</v>
      </c>
    </row>
    <row r="44" spans="1:33" x14ac:dyDescent="0.2">
      <c r="A44" s="8">
        <v>9432</v>
      </c>
      <c r="B44" s="9" t="s">
        <v>193</v>
      </c>
      <c r="C44" s="10">
        <v>43526</v>
      </c>
      <c r="D44" s="11">
        <v>15</v>
      </c>
      <c r="E44" s="12" t="s">
        <v>34</v>
      </c>
      <c r="F44" s="12" t="s">
        <v>34</v>
      </c>
      <c r="G44" s="12" t="s">
        <v>35</v>
      </c>
      <c r="H44" s="12" t="s">
        <v>35</v>
      </c>
      <c r="I44" s="11" t="s">
        <v>194</v>
      </c>
      <c r="J44" s="12" t="s">
        <v>195</v>
      </c>
      <c r="K44" s="13" t="s">
        <v>170</v>
      </c>
      <c r="L44" s="11" t="str">
        <f>"000265"</f>
        <v>000265</v>
      </c>
      <c r="M44" s="10">
        <v>43441</v>
      </c>
      <c r="N44" s="11" t="str">
        <f>"000089"</f>
        <v>000089</v>
      </c>
      <c r="O44" s="10">
        <v>43448</v>
      </c>
      <c r="P44" s="11" t="str">
        <f>"000256"</f>
        <v>000256</v>
      </c>
      <c r="Q44" s="10">
        <v>43456</v>
      </c>
      <c r="R44" s="11"/>
      <c r="S44" s="11" t="str">
        <f>"009215"</f>
        <v>009215</v>
      </c>
      <c r="T44" s="10">
        <v>43508</v>
      </c>
      <c r="U44" s="14">
        <v>4.8409300000000002</v>
      </c>
      <c r="V44" s="14">
        <v>0.22059999999999999</v>
      </c>
      <c r="W44" s="14">
        <v>4.62033</v>
      </c>
      <c r="X44" s="11">
        <v>364</v>
      </c>
      <c r="Y44" s="10">
        <v>43526</v>
      </c>
      <c r="Z44" s="11">
        <v>8197839023</v>
      </c>
      <c r="AA44" s="12" t="s">
        <v>183</v>
      </c>
      <c r="AB44" s="11" t="s">
        <v>184</v>
      </c>
      <c r="AC44" s="12" t="s">
        <v>185</v>
      </c>
      <c r="AD44" s="11" t="s">
        <v>42</v>
      </c>
      <c r="AE44" s="12" t="s">
        <v>43</v>
      </c>
      <c r="AF44" s="14">
        <f t="shared" si="0"/>
        <v>4.8409300000000002E-2</v>
      </c>
      <c r="AG44" s="11" t="s">
        <v>186</v>
      </c>
    </row>
    <row r="45" spans="1:33" x14ac:dyDescent="0.2">
      <c r="A45" s="8">
        <v>9696</v>
      </c>
      <c r="B45" s="9" t="s">
        <v>193</v>
      </c>
      <c r="C45" s="10">
        <v>43539</v>
      </c>
      <c r="D45" s="11">
        <v>15</v>
      </c>
      <c r="E45" s="12" t="s">
        <v>34</v>
      </c>
      <c r="F45" s="12" t="s">
        <v>34</v>
      </c>
      <c r="G45" s="12" t="s">
        <v>35</v>
      </c>
      <c r="H45" s="12" t="s">
        <v>35</v>
      </c>
      <c r="I45" s="11" t="s">
        <v>196</v>
      </c>
      <c r="J45" s="12" t="s">
        <v>197</v>
      </c>
      <c r="K45" s="13" t="s">
        <v>38</v>
      </c>
      <c r="L45" s="11" t="str">
        <f>"0O0049"</f>
        <v>0O0049</v>
      </c>
      <c r="M45" s="10">
        <v>42819</v>
      </c>
      <c r="N45" s="11" t="str">
        <f>"000000"</f>
        <v>000000</v>
      </c>
      <c r="O45" s="10">
        <v>42916</v>
      </c>
      <c r="P45" s="11" t="str">
        <f>"000136"</f>
        <v>000136</v>
      </c>
      <c r="Q45" s="10">
        <v>42916</v>
      </c>
      <c r="R45" s="11"/>
      <c r="S45" s="11" t="str">
        <f>"009757"</f>
        <v>009757</v>
      </c>
      <c r="T45" s="10">
        <v>43538</v>
      </c>
      <c r="U45" s="14">
        <v>9.4687800000000006</v>
      </c>
      <c r="V45" s="14">
        <v>0.71377999999999997</v>
      </c>
      <c r="W45" s="14">
        <v>8.7550000000000008</v>
      </c>
      <c r="X45" s="11">
        <v>376</v>
      </c>
      <c r="Y45" s="10">
        <v>43539</v>
      </c>
      <c r="Z45" s="11">
        <v>9743188999</v>
      </c>
      <c r="AA45" s="12" t="s">
        <v>198</v>
      </c>
      <c r="AB45" s="11" t="s">
        <v>40</v>
      </c>
      <c r="AC45" s="12" t="s">
        <v>41</v>
      </c>
      <c r="AD45" s="11" t="s">
        <v>42</v>
      </c>
      <c r="AE45" s="12" t="s">
        <v>43</v>
      </c>
      <c r="AF45" s="14">
        <f t="shared" si="0"/>
        <v>9.4687800000000003E-2</v>
      </c>
      <c r="AG45" s="11" t="s">
        <v>44</v>
      </c>
    </row>
    <row r="46" spans="1:33" x14ac:dyDescent="0.2">
      <c r="A46" s="8">
        <v>9697</v>
      </c>
      <c r="B46" s="9" t="s">
        <v>193</v>
      </c>
      <c r="C46" s="10">
        <v>43539</v>
      </c>
      <c r="D46" s="11">
        <v>15</v>
      </c>
      <c r="E46" s="12" t="s">
        <v>34</v>
      </c>
      <c r="F46" s="12" t="s">
        <v>34</v>
      </c>
      <c r="G46" s="12" t="s">
        <v>35</v>
      </c>
      <c r="H46" s="12" t="s">
        <v>35</v>
      </c>
      <c r="I46" s="11" t="s">
        <v>199</v>
      </c>
      <c r="J46" s="12" t="s">
        <v>200</v>
      </c>
      <c r="K46" s="13" t="s">
        <v>38</v>
      </c>
      <c r="L46" s="11" t="str">
        <f>"000086"</f>
        <v>000086</v>
      </c>
      <c r="M46" s="10">
        <v>42453</v>
      </c>
      <c r="N46" s="11" t="str">
        <f>"000000"</f>
        <v>000000</v>
      </c>
      <c r="O46" s="10">
        <v>42916</v>
      </c>
      <c r="P46" s="11" t="str">
        <f>"000137"</f>
        <v>000137</v>
      </c>
      <c r="Q46" s="10">
        <v>42916</v>
      </c>
      <c r="R46" s="11"/>
      <c r="S46" s="11" t="str">
        <f>"009758"</f>
        <v>009758</v>
      </c>
      <c r="T46" s="10">
        <v>43538</v>
      </c>
      <c r="U46" s="14">
        <v>9.2681000000000004</v>
      </c>
      <c r="V46" s="14">
        <v>0.70582999999999996</v>
      </c>
      <c r="W46" s="14">
        <v>8.5622699999999998</v>
      </c>
      <c r="X46" s="11">
        <v>376</v>
      </c>
      <c r="Y46" s="10">
        <v>43539</v>
      </c>
      <c r="Z46" s="11">
        <v>9743188999</v>
      </c>
      <c r="AA46" s="12" t="s">
        <v>198</v>
      </c>
      <c r="AB46" s="11" t="s">
        <v>40</v>
      </c>
      <c r="AC46" s="12" t="s">
        <v>41</v>
      </c>
      <c r="AD46" s="11" t="s">
        <v>42</v>
      </c>
      <c r="AE46" s="12" t="s">
        <v>43</v>
      </c>
      <c r="AF46" s="14">
        <f t="shared" si="0"/>
        <v>9.2680999999999999E-2</v>
      </c>
      <c r="AG46" s="11" t="s">
        <v>44</v>
      </c>
    </row>
    <row r="47" spans="1:33" x14ac:dyDescent="0.2">
      <c r="A47" s="8">
        <v>9726</v>
      </c>
      <c r="B47" s="9" t="s">
        <v>193</v>
      </c>
      <c r="C47" s="10">
        <v>43540</v>
      </c>
      <c r="D47" s="11">
        <v>15</v>
      </c>
      <c r="E47" s="12" t="s">
        <v>34</v>
      </c>
      <c r="F47" s="12" t="s">
        <v>34</v>
      </c>
      <c r="G47" s="12" t="s">
        <v>35</v>
      </c>
      <c r="H47" s="12" t="s">
        <v>35</v>
      </c>
      <c r="I47" s="11" t="s">
        <v>201</v>
      </c>
      <c r="J47" s="12" t="s">
        <v>202</v>
      </c>
      <c r="K47" s="13" t="s">
        <v>182</v>
      </c>
      <c r="L47" s="11" t="str">
        <f>"000267"</f>
        <v>000267</v>
      </c>
      <c r="M47" s="10">
        <v>43441</v>
      </c>
      <c r="N47" s="11" t="str">
        <f>"000092"</f>
        <v>000092</v>
      </c>
      <c r="O47" s="10">
        <v>43448</v>
      </c>
      <c r="P47" s="11" t="str">
        <f>"000259"</f>
        <v>000259</v>
      </c>
      <c r="Q47" s="10">
        <v>43456</v>
      </c>
      <c r="R47" s="11"/>
      <c r="S47" s="11" t="str">
        <f>"009690"</f>
        <v>009690</v>
      </c>
      <c r="T47" s="10">
        <v>43537</v>
      </c>
      <c r="U47" s="14">
        <v>4.9108000000000001</v>
      </c>
      <c r="V47" s="14">
        <v>0.21626999999999999</v>
      </c>
      <c r="W47" s="14">
        <v>4.6945300000000003</v>
      </c>
      <c r="X47" s="11">
        <v>377</v>
      </c>
      <c r="Y47" s="10">
        <v>43540</v>
      </c>
      <c r="Z47" s="11">
        <v>8197839023</v>
      </c>
      <c r="AA47" s="12" t="s">
        <v>183</v>
      </c>
      <c r="AB47" s="11" t="s">
        <v>184</v>
      </c>
      <c r="AC47" s="12" t="s">
        <v>185</v>
      </c>
      <c r="AD47" s="11" t="s">
        <v>42</v>
      </c>
      <c r="AE47" s="12" t="s">
        <v>43</v>
      </c>
      <c r="AF47" s="14">
        <f t="shared" si="0"/>
        <v>4.9107999999999999E-2</v>
      </c>
      <c r="AG47" s="11" t="s">
        <v>186</v>
      </c>
    </row>
    <row r="48" spans="1:33" x14ac:dyDescent="0.2">
      <c r="A48" s="8">
        <v>9916</v>
      </c>
      <c r="B48" s="9" t="s">
        <v>193</v>
      </c>
      <c r="C48" s="10">
        <v>43552</v>
      </c>
      <c r="D48" s="11">
        <v>15</v>
      </c>
      <c r="E48" s="12" t="s">
        <v>34</v>
      </c>
      <c r="F48" s="12" t="s">
        <v>34</v>
      </c>
      <c r="G48" s="12" t="s">
        <v>35</v>
      </c>
      <c r="H48" s="12" t="s">
        <v>35</v>
      </c>
      <c r="I48" s="11" t="s">
        <v>203</v>
      </c>
      <c r="J48" s="12" t="s">
        <v>204</v>
      </c>
      <c r="K48" s="13" t="s">
        <v>38</v>
      </c>
      <c r="L48" s="11" t="str">
        <f>"000054"</f>
        <v>000054</v>
      </c>
      <c r="M48" s="10">
        <v>42453</v>
      </c>
      <c r="N48" s="11" t="str">
        <f>"79"</f>
        <v>79</v>
      </c>
      <c r="O48" s="10" t="s">
        <v>205</v>
      </c>
      <c r="P48" s="11" t="str">
        <f>"000157"</f>
        <v>000157</v>
      </c>
      <c r="Q48" s="10">
        <v>42916</v>
      </c>
      <c r="R48" s="11"/>
      <c r="S48" s="11" t="str">
        <f>"009922"</f>
        <v>009922</v>
      </c>
      <c r="T48" s="10">
        <v>43549</v>
      </c>
      <c r="U48" s="14">
        <v>4.8166200000000003</v>
      </c>
      <c r="V48" s="14">
        <v>0.30374000000000001</v>
      </c>
      <c r="W48" s="14">
        <v>4.51288</v>
      </c>
      <c r="X48" s="11">
        <v>388</v>
      </c>
      <c r="Y48" s="10">
        <v>43552</v>
      </c>
      <c r="Z48" s="11">
        <v>9036033962</v>
      </c>
      <c r="AA48" s="12" t="s">
        <v>206</v>
      </c>
      <c r="AB48" s="11" t="s">
        <v>40</v>
      </c>
      <c r="AC48" s="12" t="s">
        <v>41</v>
      </c>
      <c r="AD48" s="11" t="s">
        <v>42</v>
      </c>
      <c r="AE48" s="12" t="s">
        <v>43</v>
      </c>
      <c r="AF48" s="14">
        <f t="shared" si="0"/>
        <v>4.8166200000000006E-2</v>
      </c>
      <c r="AG48" s="11" t="s">
        <v>44</v>
      </c>
    </row>
    <row r="49" spans="1:33" x14ac:dyDescent="0.2">
      <c r="A49" s="8">
        <v>9999</v>
      </c>
      <c r="B49" s="9" t="s">
        <v>193</v>
      </c>
      <c r="C49" s="10">
        <v>43552</v>
      </c>
      <c r="D49" s="11">
        <v>15</v>
      </c>
      <c r="E49" s="12" t="s">
        <v>34</v>
      </c>
      <c r="F49" s="12" t="s">
        <v>34</v>
      </c>
      <c r="G49" s="12" t="s">
        <v>35</v>
      </c>
      <c r="H49" s="12" t="s">
        <v>35</v>
      </c>
      <c r="I49" s="11" t="s">
        <v>207</v>
      </c>
      <c r="J49" s="12" t="s">
        <v>208</v>
      </c>
      <c r="K49" s="13" t="s">
        <v>38</v>
      </c>
      <c r="L49" s="11" t="str">
        <f>"000068"</f>
        <v>000068</v>
      </c>
      <c r="M49" s="10">
        <v>42866</v>
      </c>
      <c r="N49" s="11" t="str">
        <f>"0O0054"</f>
        <v>0O0054</v>
      </c>
      <c r="O49" s="10">
        <v>42905</v>
      </c>
      <c r="P49" s="11" t="str">
        <f>"000171"</f>
        <v>000171</v>
      </c>
      <c r="Q49" s="10">
        <v>42916</v>
      </c>
      <c r="R49" s="11"/>
      <c r="S49" s="11" t="str">
        <f>"010061"</f>
        <v>010061</v>
      </c>
      <c r="T49" s="10">
        <v>43552</v>
      </c>
      <c r="U49" s="14">
        <v>16.275300000000001</v>
      </c>
      <c r="V49" s="14">
        <v>1.2062200000000001</v>
      </c>
      <c r="W49" s="14">
        <v>15.06908</v>
      </c>
      <c r="X49" s="11">
        <v>390</v>
      </c>
      <c r="Y49" s="10">
        <v>43552</v>
      </c>
      <c r="Z49" s="11">
        <v>9901829745</v>
      </c>
      <c r="AA49" s="12" t="s">
        <v>209</v>
      </c>
      <c r="AB49" s="11" t="s">
        <v>40</v>
      </c>
      <c r="AC49" s="12" t="s">
        <v>41</v>
      </c>
      <c r="AD49" s="11" t="s">
        <v>42</v>
      </c>
      <c r="AE49" s="12" t="s">
        <v>43</v>
      </c>
      <c r="AF49" s="14">
        <f t="shared" si="0"/>
        <v>0.16275300000000001</v>
      </c>
      <c r="AG49" s="11" t="s">
        <v>44</v>
      </c>
    </row>
    <row r="50" spans="1:33" x14ac:dyDescent="0.2">
      <c r="A50" s="8">
        <v>10002</v>
      </c>
      <c r="B50" s="9" t="s">
        <v>193</v>
      </c>
      <c r="C50" s="10">
        <v>43552</v>
      </c>
      <c r="D50" s="11">
        <v>15</v>
      </c>
      <c r="E50" s="12" t="s">
        <v>34</v>
      </c>
      <c r="F50" s="12" t="s">
        <v>34</v>
      </c>
      <c r="G50" s="12" t="s">
        <v>35</v>
      </c>
      <c r="H50" s="12" t="s">
        <v>35</v>
      </c>
      <c r="I50" s="11" t="s">
        <v>210</v>
      </c>
      <c r="J50" s="12" t="s">
        <v>211</v>
      </c>
      <c r="K50" s="13" t="s">
        <v>60</v>
      </c>
      <c r="L50" s="11" t="str">
        <f>"000076"</f>
        <v>000076</v>
      </c>
      <c r="M50" s="10">
        <v>42916</v>
      </c>
      <c r="N50" s="11" t="str">
        <f>"000061"</f>
        <v>000061</v>
      </c>
      <c r="O50" s="10">
        <v>42905</v>
      </c>
      <c r="P50" s="11" t="str">
        <f>"000176"</f>
        <v>000176</v>
      </c>
      <c r="Q50" s="10">
        <v>42916</v>
      </c>
      <c r="R50" s="11"/>
      <c r="S50" s="11" t="str">
        <f>"010064"</f>
        <v>010064</v>
      </c>
      <c r="T50" s="10">
        <v>43552</v>
      </c>
      <c r="U50" s="14">
        <v>13.09186</v>
      </c>
      <c r="V50" s="14">
        <v>0.96225000000000005</v>
      </c>
      <c r="W50" s="14">
        <v>12.12961</v>
      </c>
      <c r="X50" s="11">
        <v>390</v>
      </c>
      <c r="Y50" s="10">
        <v>43552</v>
      </c>
      <c r="Z50" s="11">
        <v>9972851320</v>
      </c>
      <c r="AA50" s="12" t="s">
        <v>212</v>
      </c>
      <c r="AB50" s="11" t="s">
        <v>40</v>
      </c>
      <c r="AC50" s="12" t="s">
        <v>41</v>
      </c>
      <c r="AD50" s="11" t="s">
        <v>42</v>
      </c>
      <c r="AE50" s="12" t="s">
        <v>43</v>
      </c>
      <c r="AF50" s="14">
        <f t="shared" si="0"/>
        <v>0.1309186</v>
      </c>
      <c r="AG50" s="11" t="s">
        <v>44</v>
      </c>
    </row>
    <row r="51" spans="1:33" x14ac:dyDescent="0.2">
      <c r="A51" s="8">
        <v>10022</v>
      </c>
      <c r="B51" s="9" t="s">
        <v>193</v>
      </c>
      <c r="C51" s="10">
        <v>43552</v>
      </c>
      <c r="D51" s="11">
        <v>15</v>
      </c>
      <c r="E51" s="12" t="s">
        <v>34</v>
      </c>
      <c r="F51" s="12" t="s">
        <v>34</v>
      </c>
      <c r="G51" s="12" t="s">
        <v>35</v>
      </c>
      <c r="H51" s="12" t="s">
        <v>35</v>
      </c>
      <c r="I51" s="11" t="s">
        <v>213</v>
      </c>
      <c r="J51" s="12" t="s">
        <v>214</v>
      </c>
      <c r="K51" s="13" t="s">
        <v>74</v>
      </c>
      <c r="L51" s="11" t="str">
        <f>"000023"</f>
        <v>000023</v>
      </c>
      <c r="M51" s="10">
        <v>42835</v>
      </c>
      <c r="N51" s="11" t="str">
        <f>"000059"</f>
        <v>000059</v>
      </c>
      <c r="O51" s="10">
        <v>42905</v>
      </c>
      <c r="P51" s="11" t="str">
        <f>"000180"</f>
        <v>000180</v>
      </c>
      <c r="Q51" s="10">
        <v>42916</v>
      </c>
      <c r="R51" s="11"/>
      <c r="S51" s="11" t="str">
        <f>"010084"</f>
        <v>010084</v>
      </c>
      <c r="T51" s="10">
        <v>43552</v>
      </c>
      <c r="U51" s="14">
        <v>12.863580000000001</v>
      </c>
      <c r="V51" s="14">
        <v>0.94547999999999999</v>
      </c>
      <c r="W51" s="14">
        <v>11.918100000000001</v>
      </c>
      <c r="X51" s="11">
        <v>390</v>
      </c>
      <c r="Y51" s="10">
        <v>43552</v>
      </c>
      <c r="Z51" s="11">
        <v>9880404202</v>
      </c>
      <c r="AA51" s="12" t="s">
        <v>215</v>
      </c>
      <c r="AB51" s="11" t="s">
        <v>40</v>
      </c>
      <c r="AC51" s="12" t="s">
        <v>41</v>
      </c>
      <c r="AD51" s="11" t="s">
        <v>42</v>
      </c>
      <c r="AE51" s="12" t="s">
        <v>43</v>
      </c>
      <c r="AF51" s="14">
        <f t="shared" si="0"/>
        <v>0.12863579999999999</v>
      </c>
      <c r="AG51" s="11" t="s">
        <v>44</v>
      </c>
    </row>
    <row r="52" spans="1:33" x14ac:dyDescent="0.2">
      <c r="A52" s="8">
        <v>10024</v>
      </c>
      <c r="B52" s="9" t="s">
        <v>193</v>
      </c>
      <c r="C52" s="10">
        <v>43552</v>
      </c>
      <c r="D52" s="11">
        <v>15</v>
      </c>
      <c r="E52" s="12" t="s">
        <v>34</v>
      </c>
      <c r="F52" s="12" t="s">
        <v>34</v>
      </c>
      <c r="G52" s="12" t="s">
        <v>35</v>
      </c>
      <c r="H52" s="12" t="s">
        <v>35</v>
      </c>
      <c r="I52" s="11" t="s">
        <v>216</v>
      </c>
      <c r="J52" s="12" t="s">
        <v>217</v>
      </c>
      <c r="K52" s="13" t="s">
        <v>38</v>
      </c>
      <c r="L52" s="11" t="str">
        <f>"000025"</f>
        <v>000025</v>
      </c>
      <c r="M52" s="10">
        <v>42835</v>
      </c>
      <c r="N52" s="11" t="str">
        <f>"000181"</f>
        <v>000181</v>
      </c>
      <c r="O52" s="10">
        <v>42905</v>
      </c>
      <c r="P52" s="11" t="str">
        <f>"000181"</f>
        <v>000181</v>
      </c>
      <c r="Q52" s="10">
        <v>42916</v>
      </c>
      <c r="R52" s="11"/>
      <c r="S52" s="11" t="str">
        <f>"010086"</f>
        <v>010086</v>
      </c>
      <c r="T52" s="10">
        <v>43552</v>
      </c>
      <c r="U52" s="14">
        <v>9.9202499999999993</v>
      </c>
      <c r="V52" s="14">
        <v>0.73433000000000004</v>
      </c>
      <c r="W52" s="14">
        <v>9.1859199999999994</v>
      </c>
      <c r="X52" s="11">
        <v>390</v>
      </c>
      <c r="Y52" s="10">
        <v>43552</v>
      </c>
      <c r="Z52" s="11">
        <v>9880404202</v>
      </c>
      <c r="AA52" s="12" t="s">
        <v>215</v>
      </c>
      <c r="AB52" s="11" t="s">
        <v>40</v>
      </c>
      <c r="AC52" s="12" t="s">
        <v>41</v>
      </c>
      <c r="AD52" s="11" t="s">
        <v>42</v>
      </c>
      <c r="AE52" s="12" t="s">
        <v>43</v>
      </c>
      <c r="AF52" s="14">
        <f t="shared" si="0"/>
        <v>9.9202499999999999E-2</v>
      </c>
      <c r="AG52" s="11" t="s">
        <v>44</v>
      </c>
    </row>
    <row r="53" spans="1:33" x14ac:dyDescent="0.2">
      <c r="A53" s="8">
        <v>10026</v>
      </c>
      <c r="B53" s="9" t="s">
        <v>193</v>
      </c>
      <c r="C53" s="10">
        <v>43552</v>
      </c>
      <c r="D53" s="11">
        <v>15</v>
      </c>
      <c r="E53" s="12" t="s">
        <v>34</v>
      </c>
      <c r="F53" s="12" t="s">
        <v>34</v>
      </c>
      <c r="G53" s="12" t="s">
        <v>35</v>
      </c>
      <c r="H53" s="12" t="s">
        <v>35</v>
      </c>
      <c r="I53" s="11" t="s">
        <v>218</v>
      </c>
      <c r="J53" s="12" t="s">
        <v>219</v>
      </c>
      <c r="K53" s="13" t="s">
        <v>38</v>
      </c>
      <c r="L53" s="11" t="str">
        <f>"000024"</f>
        <v>000024</v>
      </c>
      <c r="M53" s="10">
        <v>42835</v>
      </c>
      <c r="N53" s="11" t="str">
        <f>"000182"</f>
        <v>000182</v>
      </c>
      <c r="O53" s="10">
        <v>42905</v>
      </c>
      <c r="P53" s="11" t="str">
        <f>"000182"</f>
        <v>000182</v>
      </c>
      <c r="Q53" s="10">
        <v>42916</v>
      </c>
      <c r="R53" s="11"/>
      <c r="S53" s="11" t="str">
        <f>"010088"</f>
        <v>010088</v>
      </c>
      <c r="T53" s="10">
        <v>43552</v>
      </c>
      <c r="U53" s="14">
        <v>6.9906199999999998</v>
      </c>
      <c r="V53" s="14">
        <v>0.52381</v>
      </c>
      <c r="W53" s="14">
        <v>6.4668099999999997</v>
      </c>
      <c r="X53" s="11">
        <v>390</v>
      </c>
      <c r="Y53" s="10">
        <v>43552</v>
      </c>
      <c r="Z53" s="11">
        <v>9880404202</v>
      </c>
      <c r="AA53" s="12" t="s">
        <v>215</v>
      </c>
      <c r="AB53" s="11" t="s">
        <v>40</v>
      </c>
      <c r="AC53" s="12" t="s">
        <v>41</v>
      </c>
      <c r="AD53" s="11" t="s">
        <v>42</v>
      </c>
      <c r="AE53" s="12" t="s">
        <v>43</v>
      </c>
      <c r="AF53" s="14">
        <f t="shared" si="0"/>
        <v>6.9906200000000002E-2</v>
      </c>
      <c r="AG53" s="11" t="s">
        <v>44</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2019-06-12T10:59:10Z</dcterms:modified>
</cp:coreProperties>
</file>