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49" i="1" l="1"/>
  <c r="S49" i="1"/>
  <c r="P49" i="1"/>
  <c r="N49" i="1"/>
  <c r="L49" i="1"/>
  <c r="AF48" i="1"/>
  <c r="S48" i="1"/>
  <c r="P48" i="1"/>
  <c r="N48" i="1"/>
  <c r="L48" i="1"/>
  <c r="AF47" i="1"/>
  <c r="S47" i="1"/>
  <c r="P47" i="1"/>
  <c r="N47" i="1"/>
  <c r="L47" i="1"/>
  <c r="AF46" i="1"/>
  <c r="S46" i="1"/>
  <c r="P46" i="1"/>
  <c r="N46" i="1"/>
  <c r="L46" i="1"/>
  <c r="AF45" i="1"/>
  <c r="S45" i="1"/>
  <c r="P45" i="1"/>
  <c r="N45" i="1"/>
  <c r="L45" i="1"/>
  <c r="AF44" i="1"/>
  <c r="S44" i="1"/>
  <c r="P44" i="1"/>
  <c r="N44" i="1"/>
  <c r="L44" i="1"/>
  <c r="AF43" i="1"/>
  <c r="S43" i="1"/>
  <c r="P43" i="1"/>
  <c r="N43" i="1"/>
  <c r="L43" i="1"/>
  <c r="AF42" i="1"/>
  <c r="S42" i="1"/>
  <c r="P42" i="1"/>
  <c r="N42" i="1"/>
  <c r="L42" i="1"/>
  <c r="AF41" i="1"/>
  <c r="S41" i="1"/>
  <c r="P41" i="1"/>
  <c r="N41" i="1"/>
  <c r="L41" i="1"/>
  <c r="AF40" i="1"/>
  <c r="S40" i="1"/>
  <c r="P40" i="1"/>
  <c r="N40" i="1"/>
  <c r="L40" i="1"/>
  <c r="AF39" i="1"/>
  <c r="S39" i="1"/>
  <c r="P39" i="1"/>
  <c r="N39" i="1"/>
  <c r="L39" i="1"/>
  <c r="AF38" i="1"/>
  <c r="S38" i="1"/>
  <c r="P38" i="1"/>
  <c r="N38" i="1"/>
  <c r="L38" i="1"/>
  <c r="AF37" i="1"/>
  <c r="S37" i="1"/>
  <c r="P37" i="1"/>
  <c r="N37" i="1"/>
  <c r="L37" i="1"/>
  <c r="AF36" i="1"/>
  <c r="S36" i="1"/>
  <c r="P36" i="1"/>
  <c r="N36" i="1"/>
  <c r="L36" i="1"/>
  <c r="AF35" i="1"/>
  <c r="S35" i="1"/>
  <c r="P35" i="1"/>
  <c r="N35" i="1"/>
  <c r="L35" i="1"/>
  <c r="AF34" i="1"/>
  <c r="S34" i="1"/>
  <c r="P34" i="1"/>
  <c r="N34" i="1"/>
  <c r="L34" i="1"/>
  <c r="AF33" i="1"/>
  <c r="S33" i="1"/>
  <c r="P33" i="1"/>
  <c r="N33" i="1"/>
  <c r="L33" i="1"/>
  <c r="AF32" i="1"/>
  <c r="S32" i="1"/>
  <c r="P32" i="1"/>
  <c r="N32" i="1"/>
  <c r="L32" i="1"/>
  <c r="AF31" i="1"/>
  <c r="S31" i="1"/>
  <c r="P31" i="1"/>
  <c r="N31" i="1"/>
  <c r="L31" i="1"/>
  <c r="AF30" i="1"/>
  <c r="S30" i="1"/>
  <c r="P30" i="1"/>
  <c r="N30" i="1"/>
  <c r="L30" i="1"/>
  <c r="AF29" i="1"/>
  <c r="S29" i="1"/>
  <c r="P29" i="1"/>
  <c r="N29" i="1"/>
  <c r="L29" i="1"/>
  <c r="AF28" i="1"/>
  <c r="S28" i="1"/>
  <c r="P28" i="1"/>
  <c r="N28" i="1"/>
  <c r="L28" i="1"/>
  <c r="AF27" i="1"/>
  <c r="S27" i="1"/>
  <c r="P27" i="1"/>
  <c r="N27" i="1"/>
  <c r="L27" i="1"/>
  <c r="AF26" i="1"/>
  <c r="S26" i="1"/>
  <c r="P26" i="1"/>
  <c r="N26" i="1"/>
  <c r="L26" i="1"/>
  <c r="AF25" i="1"/>
  <c r="S25" i="1"/>
  <c r="P25" i="1"/>
  <c r="N25" i="1"/>
  <c r="L25" i="1"/>
  <c r="AF24" i="1"/>
  <c r="S24" i="1"/>
  <c r="P24" i="1"/>
  <c r="N24" i="1"/>
  <c r="L24" i="1"/>
  <c r="S23" i="1"/>
  <c r="P23" i="1"/>
  <c r="N23" i="1"/>
  <c r="L23" i="1"/>
  <c r="S22" i="1"/>
  <c r="P22" i="1"/>
  <c r="N22" i="1"/>
  <c r="L22" i="1"/>
  <c r="S21" i="1"/>
  <c r="P21" i="1"/>
  <c r="N21" i="1"/>
  <c r="L21" i="1"/>
  <c r="S20" i="1"/>
  <c r="P20" i="1"/>
  <c r="N20" i="1"/>
  <c r="L20" i="1"/>
  <c r="S19" i="1"/>
  <c r="P19" i="1"/>
  <c r="N19" i="1"/>
  <c r="L19" i="1"/>
  <c r="S18" i="1"/>
  <c r="P18" i="1"/>
  <c r="N18" i="1"/>
  <c r="L18" i="1"/>
  <c r="S17" i="1"/>
  <c r="P17" i="1"/>
  <c r="N17" i="1"/>
  <c r="L17" i="1"/>
  <c r="S16" i="1"/>
  <c r="P16" i="1"/>
  <c r="N16" i="1"/>
  <c r="L16" i="1"/>
  <c r="S15" i="1"/>
  <c r="P15" i="1"/>
  <c r="N15" i="1"/>
  <c r="L15" i="1"/>
  <c r="S14" i="1"/>
  <c r="P14" i="1"/>
  <c r="N14" i="1"/>
  <c r="L14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<sst xmlns="http://schemas.openxmlformats.org/spreadsheetml/2006/main" count="705" uniqueCount="180">
  <si>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</si>
  <si>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</si>
  <si>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</si>
  <si>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</si>
  <si>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</si>
  <si>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</si>
  <si>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</si>
  <si>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</si>
  <si>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</si>
  <si>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</si>
  <si>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</si>
  <si>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</si>
  <si>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</si>
  <si>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</si>
  <si>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</si>
  <si>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</si>
  <si>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</si>
  <si>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</si>
  <si>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</si>
  <si>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</si>
  <si>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</si>
  <si>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</si>
  <si>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</si>
  <si>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</si>
  <si>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</si>
  <si>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</si>
  <si>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</si>
  <si>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</si>
  <si>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</si>
  <si>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</si>
  <si>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</si>
  <si>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</si>
  <si>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</si>
  <si>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April</t>
  </si>
  <si>
    <t>Bellanduru</t>
  </si>
  <si>
    <t>Maaratha Halli</t>
  </si>
  <si>
    <t>Mahadeva Pura</t>
  </si>
  <si>
    <t>150-16-000012</t>
  </si>
  <si>
    <t>Engaging Gang and Tractor at Ward No150</t>
  </si>
  <si>
    <t>Other Ward Works</t>
  </si>
  <si>
    <t>B S UMASHANKAR</t>
  </si>
  <si>
    <t>P1771</t>
  </si>
  <si>
    <t>Zone Works - POW Works</t>
  </si>
  <si>
    <t>ddo361</t>
  </si>
  <si>
    <t xml:space="preserve"> Assistant Executive Engineer Marathalli Subdivision Mahadevapura Zone</t>
  </si>
  <si>
    <t>Pending</t>
  </si>
  <si>
    <t>150-16-000014</t>
  </si>
  <si>
    <t>Maintenance of BBMP Office Buildings in Ward No150</t>
  </si>
  <si>
    <t>S M ARJUN</t>
  </si>
  <si>
    <t>May</t>
  </si>
  <si>
    <t>150-16-000028</t>
  </si>
  <si>
    <t>Improvements to road from Anjanadri School to Chikkabellandur road and Hill top layout at Doddakannalli in wno150</t>
  </si>
  <si>
    <t>Roads &amp; Drivablility</t>
  </si>
  <si>
    <t>G Venkatesh</t>
  </si>
  <si>
    <t>P3106</t>
  </si>
  <si>
    <t>Nagarothana Works</t>
  </si>
  <si>
    <t>Current</t>
  </si>
  <si>
    <t>June</t>
  </si>
  <si>
    <t>150-17-000018</t>
  </si>
  <si>
    <t>Annual Maintenance to UGD Pipe lines and Man Holes and providing UGD pipe line missing bits at Kaikondrahalli Kasavanahalli Junnasandra Kadubisanahalli Bhoganahalli and Doddakannelli in Ward No150</t>
  </si>
  <si>
    <t>Water &amp; Sanitary</t>
  </si>
  <si>
    <t>B.S.Umashankar</t>
  </si>
  <si>
    <t>150-17-000014</t>
  </si>
  <si>
    <t>Annual Maintenance to UGD Pipe lines and Man Holes and providing UGD pipe line missing bits at Bellandur Ambalipura Haraluru Kariyammana Agrahara and Devarabisanahalli in Ward No150</t>
  </si>
  <si>
    <t>July</t>
  </si>
  <si>
    <t>150-16-000023</t>
  </si>
  <si>
    <t>Improvements to road and drains in KPC Layout 2nd main and balalnce cross roads, Kasavanahalli at Ward No. 150</t>
  </si>
  <si>
    <t>Footpaths &amp; Walkability</t>
  </si>
  <si>
    <t>B T RAVIKUMAR</t>
  </si>
  <si>
    <t>P3089</t>
  </si>
  <si>
    <t>Special Development works in 7 CMC and 1 TMC area in BBMP</t>
  </si>
  <si>
    <t>150-17-000024</t>
  </si>
  <si>
    <t>Improvements to roads and drains from Srirama Temple to Narayanappa House, Chandrappa House and Vasvani Appartment Road at Challaghatta in Ward No 150</t>
  </si>
  <si>
    <t>The Executive Engineer-5,</t>
  </si>
  <si>
    <t>P3158</t>
  </si>
  <si>
    <t>SIP Infrastructure Project works</t>
  </si>
  <si>
    <t>150-17-000025</t>
  </si>
  <si>
    <t>Improvements to roads and drains from Anjaneya Temple to Sitappa House, Shekar House and Doddamuniyappa House road behind Govt School at B.Nagasandra in Ward No 150</t>
  </si>
  <si>
    <t>M/S KRIDL</t>
  </si>
  <si>
    <t>Spill Over</t>
  </si>
  <si>
    <t>150-18-000006</t>
  </si>
  <si>
    <t>Construction of RCC U shape drain to SWD BH-627 Kasavanahalli tank to Kaikondanahalli at ward no-150</t>
  </si>
  <si>
    <t>Veera Vasu</t>
  </si>
  <si>
    <t>ddo313</t>
  </si>
  <si>
    <t xml:space="preserve"> Chief Engineer SWD Central Zone</t>
  </si>
  <si>
    <t>150-16-000002</t>
  </si>
  <si>
    <t>Improvements to drains in Haraluru near Murali House in Ward No 150</t>
  </si>
  <si>
    <t xml:space="preserve">N V MOHAN M/S NVR INFRASTRUCTURES </t>
  </si>
  <si>
    <t>150-17-000009</t>
  </si>
  <si>
    <t>Annual Maintenance of Water Supply pipe lines in Ward No150</t>
  </si>
  <si>
    <t>V VENKATESH</t>
  </si>
  <si>
    <t>150-17-000008</t>
  </si>
  <si>
    <t>Annual Maintenance of Sub mersible Motors and Pumpsets in Ward No150</t>
  </si>
  <si>
    <t>150-17-000019</t>
  </si>
  <si>
    <t>Sinking of borewell and fixing submersible pumpset and Electrification with pipe line in Ward No 150</t>
  </si>
  <si>
    <t>V. VENKATESH</t>
  </si>
  <si>
    <t>P1802</t>
  </si>
  <si>
    <t>Water Supply New Areas</t>
  </si>
  <si>
    <t>150-11-000025</t>
  </si>
  <si>
    <t>Construction of Bridge at Yamallur and Belladur villiage on down stream of Bellandur lake waste weir</t>
  </si>
  <si>
    <t>Lakes</t>
  </si>
  <si>
    <t>SR GANESH</t>
  </si>
  <si>
    <t>P0541</t>
  </si>
  <si>
    <t>Emergency Reserve Fund</t>
  </si>
  <si>
    <t>150-17-000001</t>
  </si>
  <si>
    <t>Maintenance of street lights from Benganhalli Flyover to Agara flyover including service roads, underpasses and flyover in outer ring road in Mahadevapura</t>
  </si>
  <si>
    <t xml:space="preserve">Karthik Electricals </t>
  </si>
  <si>
    <t>P0300</t>
  </si>
  <si>
    <t>M and R to Street Lights - Replacement of Burnt Bulbs etc. (Package)</t>
  </si>
  <si>
    <t>ddo365</t>
  </si>
  <si>
    <t xml:space="preserve"> Executive Engineer Electrical Mahadevapura Zone</t>
  </si>
  <si>
    <t>150-16-000001</t>
  </si>
  <si>
    <t>Operation and maintanance of street light fittings in ward no 150 bellanduru Mahadevapura Zone M01</t>
  </si>
  <si>
    <t>M/s New Basavashree Electricals,</t>
  </si>
  <si>
    <t>August</t>
  </si>
  <si>
    <t>150-16-000033</t>
  </si>
  <si>
    <t>Providing drains at Devarabisanahalli in Ward No 150 Bellandur</t>
  </si>
  <si>
    <t>N S PRASAD</t>
  </si>
  <si>
    <t>P3071</t>
  </si>
  <si>
    <t>Development of Backward regions of Muncipal area under BBMP limits</t>
  </si>
  <si>
    <t>150-16-000018</t>
  </si>
  <si>
    <t>Improvements to road from Haraluru main road to KBR residency apartment road (Ambalipura residency road) in ward no 150</t>
  </si>
  <si>
    <t>B T Ravikumar</t>
  </si>
  <si>
    <t>150-16-000013</t>
  </si>
  <si>
    <t>Repairs to Culverts and Drains in Ward No150</t>
  </si>
  <si>
    <t xml:space="preserve">D THIMMARAYAPPA </t>
  </si>
  <si>
    <t>October</t>
  </si>
  <si>
    <t>150-18-000007</t>
  </si>
  <si>
    <t>Construction of RCC U shape drain to SWD BH-628 Kaikondanahalli tank to sowl tank at ward no 150</t>
  </si>
  <si>
    <t>Storm Water Drains</t>
  </si>
  <si>
    <t>N Shivakumar</t>
  </si>
  <si>
    <t>150-18-000008</t>
  </si>
  <si>
    <t>Construction of RCC U shape drain to SWD BH-625 Haralur tank to Kasavanahalli tank at ward no-150</t>
  </si>
  <si>
    <t>G L Yadugiri</t>
  </si>
  <si>
    <t>150-17-000011</t>
  </si>
  <si>
    <t>Water Supply through Tankers at Ward No150</t>
  </si>
  <si>
    <t>M Suresh</t>
  </si>
  <si>
    <t>150-18-000005</t>
  </si>
  <si>
    <t>Construction of RCC U shape drain to SWD near Ambalipura tank ward no-150</t>
  </si>
  <si>
    <t>B G Srinivasa</t>
  </si>
  <si>
    <t>150-18-000003</t>
  </si>
  <si>
    <t>Repairs of Road and Drains from Sarjapura main road Sagar Delux Hotel up to GRA Towers of ward no 150</t>
  </si>
  <si>
    <t>The Executive Engineer-5</t>
  </si>
  <si>
    <t>150-18-000002</t>
  </si>
  <si>
    <t>Repairs of UGD pipelines and Man Holes from Sarjapura main road Sagar Delux Hotel up to GRA Towers of ward no 150.</t>
  </si>
  <si>
    <t>November</t>
  </si>
  <si>
    <t>150-16-000022</t>
  </si>
  <si>
    <t>Improvements to road from Ambalipura main road to Sarjapura main road via Ganesha Temple and Krishna lilac apartment road in ward no 150</t>
  </si>
  <si>
    <t>January</t>
  </si>
  <si>
    <t>150-17-000043</t>
  </si>
  <si>
    <t>Improvements to roads and drains at Burial Ground Road, Doddakannelli in Ward No:150</t>
  </si>
  <si>
    <t>150-17-000017</t>
  </si>
  <si>
    <t>REPAIRS TO WATER SUPPLY PIPE LINES IN WARD NO.150</t>
  </si>
  <si>
    <t xml:space="preserve">V VENKATESH </t>
  </si>
  <si>
    <t>D THIMMARAYAPPA</t>
  </si>
  <si>
    <t>February</t>
  </si>
  <si>
    <t>150-18-000027</t>
  </si>
  <si>
    <t xml:space="preserve">Providing UPS Batteries and Electrical works for Indira Canteen in Mahadevapura Zone Ward No 150 Bellanduru </t>
  </si>
  <si>
    <t>Indira Canteen</t>
  </si>
  <si>
    <t>KRIDL</t>
  </si>
  <si>
    <t>150-18-000028</t>
  </si>
  <si>
    <t xml:space="preserve">Providing lighting arrangements to Indira Canteen at 150 Bellanduru </t>
  </si>
  <si>
    <t>150-17-000015</t>
  </si>
  <si>
    <t>Desilting of Drains at Bellandur Ambalipura Haraluru Kariyammana Agrahara and Devarabisanahalli Challaghatta B.Nagasandra and Kempapura in Ward No150</t>
  </si>
  <si>
    <t>M.Nagarajan</t>
  </si>
  <si>
    <t>150-17-000016</t>
  </si>
  <si>
    <t>Desilting of drains at Kaikondranahalli Kasavanahalli Junnasandra Kadubisanahalli Bhoganahalli Doddakannelli in ward no 150</t>
  </si>
  <si>
    <t>MC Prabhakareddy</t>
  </si>
  <si>
    <t>March</t>
  </si>
  <si>
    <t>150-18-000029</t>
  </si>
  <si>
    <t>Providing compound wall, water supply, sanitary, electrification and beautification of indira canteen at ward no 150 Bellanduru</t>
  </si>
  <si>
    <t>M/S.KRIDL</t>
  </si>
  <si>
    <t>150-17-000055</t>
  </si>
  <si>
    <t>Engagement of Gangman and Hiring of Tractor Tippers for cleaning and Maintenance of road side drains and other cleaning works in works in ward no 150</t>
  </si>
  <si>
    <t>M.C.PRABHAKAR REDDY</t>
  </si>
  <si>
    <t>P3110</t>
  </si>
  <si>
    <t>14th Finance Commission Grant Works</t>
  </si>
  <si>
    <t>150-17-000002</t>
  </si>
  <si>
    <t>Repairs to damaged drain and providing covering slabs infront of Banian Tree at Bellandur in Ward No150</t>
  </si>
  <si>
    <t>M SURESH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</si>
</sst>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9"/>
  <sheetViews>
    <sheetView tabSelected="1" workbookViewId="0">
      <pane ySplit="1" topLeftCell="A2" activePane="bottomLeft" state="frozen"/>
      <selection activeCell="H1" sqref="H1"/>
      <selection pane="bottomLeft" activeCell="A2" sqref="A2:XFD49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438</v>
      </c>
      <c r="B2" s="9" t="s">
        <v>33</v>
      </c>
      <c r="C2" s="10">
        <v>43200</v>
      </c>
      <c r="D2" s="11">
        <v>150</v>
      </c>
      <c r="E2" s="12" t="s">
        <v>34</v>
      </c>
      <c r="F2" s="12" t="s">
        <v>35</v>
      </c>
      <c r="G2" s="12" t="s">
        <v>36</v>
      </c>
      <c r="H2" s="12" t="s">
        <v>36</v>
      </c>
      <c r="I2" s="11" t="s">
        <v>37</v>
      </c>
      <c r="J2" s="12" t="s">
        <v>38</v>
      </c>
      <c r="K2" s="13" t="s">
        <v>39</v>
      </c>
      <c r="L2" s="11" t="str">
        <f>"000109"</f>
        <v>000109</v>
      </c>
      <c r="M2" s="10">
        <v>42425</v>
      </c>
      <c r="N2" s="11" t="str">
        <f>"000101"</f>
        <v>000101</v>
      </c>
      <c r="O2" s="10">
        <v>42734</v>
      </c>
      <c r="P2" s="11" t="str">
        <f>"000495"</f>
        <v>000495</v>
      </c>
      <c r="Q2" s="10">
        <v>42734</v>
      </c>
      <c r="R2" s="11">
        <v>16</v>
      </c>
      <c r="S2" s="11" t="str">
        <f>"000419"</f>
        <v>000419</v>
      </c>
      <c r="T2" s="10">
        <v>43197</v>
      </c>
      <c r="U2" s="14">
        <v>9.8679299999999994</v>
      </c>
      <c r="V2" s="14">
        <v>1.11504</v>
      </c>
      <c r="W2" s="14">
        <v>8.7528900000000007</v>
      </c>
      <c r="X2" s="11">
        <v>10</v>
      </c>
      <c r="Y2" s="10">
        <v>43200</v>
      </c>
      <c r="Z2" s="11">
        <v>9448761965</v>
      </c>
      <c r="AA2" s="12" t="s">
        <v>40</v>
      </c>
      <c r="AB2" s="11" t="s">
        <v>41</v>
      </c>
      <c r="AC2" s="12" t="s">
        <v>42</v>
      </c>
      <c r="AD2" s="11" t="s">
        <v>43</v>
      </c>
      <c r="AE2" s="12" t="s">
        <v>44</v>
      </c>
      <c r="AF2" s="14">
        <v>9.8679299999999998E-2</v>
      </c>
      <c r="AG2" s="11" t="s">
        <v>45</v>
      </c>
    </row>
    <row r="3" spans="1:33" x14ac:dyDescent="0.2">
      <c r="A3" s="8">
        <v>551</v>
      </c>
      <c r="B3" s="9" t="s">
        <v>33</v>
      </c>
      <c r="C3" s="10">
        <v>43203</v>
      </c>
      <c r="D3" s="11">
        <v>150</v>
      </c>
      <c r="E3" s="12" t="s">
        <v>34</v>
      </c>
      <c r="F3" s="12" t="s">
        <v>35</v>
      </c>
      <c r="G3" s="12" t="s">
        <v>36</v>
      </c>
      <c r="H3" s="12" t="s">
        <v>36</v>
      </c>
      <c r="I3" s="11" t="s">
        <v>46</v>
      </c>
      <c r="J3" s="12" t="s">
        <v>47</v>
      </c>
      <c r="K3" s="13" t="s">
        <v>39</v>
      </c>
      <c r="L3" s="11" t="str">
        <f>"000153"</f>
        <v>000153</v>
      </c>
      <c r="M3" s="10">
        <v>42587</v>
      </c>
      <c r="N3" s="11" t="str">
        <f>"000096"</f>
        <v>000096</v>
      </c>
      <c r="O3" s="10">
        <v>42702</v>
      </c>
      <c r="P3" s="11" t="str">
        <f>"000465"</f>
        <v>000465</v>
      </c>
      <c r="Q3" s="10">
        <v>42705</v>
      </c>
      <c r="R3" s="11">
        <v>16</v>
      </c>
      <c r="S3" s="11" t="str">
        <f>"000388"</f>
        <v>000388</v>
      </c>
      <c r="T3" s="10">
        <v>43197</v>
      </c>
      <c r="U3" s="14">
        <v>4.8836700000000004</v>
      </c>
      <c r="V3" s="14">
        <v>0.57182999999999995</v>
      </c>
      <c r="W3" s="14">
        <v>4.3118400000000001</v>
      </c>
      <c r="X3" s="11">
        <v>20</v>
      </c>
      <c r="Y3" s="10">
        <v>43203</v>
      </c>
      <c r="Z3" s="11">
        <v>9731060516</v>
      </c>
      <c r="AA3" s="12" t="s">
        <v>48</v>
      </c>
      <c r="AB3" s="11" t="s">
        <v>41</v>
      </c>
      <c r="AC3" s="12" t="s">
        <v>42</v>
      </c>
      <c r="AD3" s="11" t="s">
        <v>43</v>
      </c>
      <c r="AE3" s="12" t="s">
        <v>44</v>
      </c>
      <c r="AF3" s="14">
        <v>4.8836700000000004E-2</v>
      </c>
      <c r="AG3" s="11" t="s">
        <v>45</v>
      </c>
    </row>
    <row r="4" spans="1:33" x14ac:dyDescent="0.2">
      <c r="A4" s="8">
        <v>1012</v>
      </c>
      <c r="B4" s="9" t="s">
        <v>49</v>
      </c>
      <c r="C4" s="10">
        <v>43229</v>
      </c>
      <c r="D4" s="11">
        <v>150</v>
      </c>
      <c r="E4" s="12" t="s">
        <v>34</v>
      </c>
      <c r="F4" s="12" t="s">
        <v>35</v>
      </c>
      <c r="G4" s="12" t="s">
        <v>36</v>
      </c>
      <c r="H4" s="12" t="s">
        <v>36</v>
      </c>
      <c r="I4" s="11" t="s">
        <v>50</v>
      </c>
      <c r="J4" s="12" t="s">
        <v>51</v>
      </c>
      <c r="K4" s="13" t="s">
        <v>52</v>
      </c>
      <c r="L4" s="11" t="str">
        <f>"000001"</f>
        <v>000001</v>
      </c>
      <c r="M4" s="10">
        <v>43196</v>
      </c>
      <c r="N4" s="11" t="str">
        <f>"000001"</f>
        <v>000001</v>
      </c>
      <c r="O4" s="10">
        <v>43196</v>
      </c>
      <c r="P4" s="11" t="str">
        <f>"000002"</f>
        <v>000002</v>
      </c>
      <c r="Q4" s="10">
        <v>43196</v>
      </c>
      <c r="R4" s="11">
        <v>16</v>
      </c>
      <c r="S4" s="11" t="str">
        <f>"001302"</f>
        <v>001302</v>
      </c>
      <c r="T4" s="10">
        <v>43229</v>
      </c>
      <c r="U4" s="14">
        <v>46.898739999999997</v>
      </c>
      <c r="V4" s="14">
        <v>1.32866</v>
      </c>
      <c r="W4" s="14">
        <v>45.570079999999997</v>
      </c>
      <c r="X4" s="11">
        <v>47</v>
      </c>
      <c r="Y4" s="10">
        <v>43229</v>
      </c>
      <c r="Z4" s="11">
        <v>9845034278</v>
      </c>
      <c r="AA4" s="12" t="s">
        <v>53</v>
      </c>
      <c r="AB4" s="11" t="s">
        <v>54</v>
      </c>
      <c r="AC4" s="12" t="s">
        <v>55</v>
      </c>
      <c r="AD4" s="11" t="s">
        <v>43</v>
      </c>
      <c r="AE4" s="12" t="s">
        <v>44</v>
      </c>
      <c r="AF4" s="14">
        <v>0.46898739999999994</v>
      </c>
      <c r="AG4" s="11" t="s">
        <v>56</v>
      </c>
    </row>
    <row r="5" spans="1:33" x14ac:dyDescent="0.2">
      <c r="A5" s="8">
        <v>1677</v>
      </c>
      <c r="B5" s="9" t="s">
        <v>57</v>
      </c>
      <c r="C5" s="10">
        <v>43252</v>
      </c>
      <c r="D5" s="11">
        <v>150</v>
      </c>
      <c r="E5" s="12" t="s">
        <v>34</v>
      </c>
      <c r="F5" s="12" t="s">
        <v>35</v>
      </c>
      <c r="G5" s="12" t="s">
        <v>36</v>
      </c>
      <c r="H5" s="12" t="s">
        <v>36</v>
      </c>
      <c r="I5" s="11" t="s">
        <v>58</v>
      </c>
      <c r="J5" s="12" t="s">
        <v>59</v>
      </c>
      <c r="K5" s="13" t="s">
        <v>60</v>
      </c>
      <c r="L5" s="11" t="str">
        <f>"000351"</f>
        <v>000351</v>
      </c>
      <c r="M5" s="10">
        <v>42808</v>
      </c>
      <c r="N5" s="11" t="str">
        <f>"000026"</f>
        <v>000026</v>
      </c>
      <c r="O5" s="10">
        <v>43039</v>
      </c>
      <c r="P5" s="11" t="str">
        <f>"000118"</f>
        <v>000118</v>
      </c>
      <c r="Q5" s="10">
        <v>43039</v>
      </c>
      <c r="R5" s="11">
        <v>17</v>
      </c>
      <c r="S5" s="11" t="str">
        <f>"002098"</f>
        <v>002098</v>
      </c>
      <c r="T5" s="10">
        <v>43251</v>
      </c>
      <c r="U5" s="14">
        <v>14.98531</v>
      </c>
      <c r="V5" s="14">
        <v>1.49861</v>
      </c>
      <c r="W5" s="14">
        <v>13.486700000000001</v>
      </c>
      <c r="X5" s="11">
        <v>66</v>
      </c>
      <c r="Y5" s="10">
        <v>43252</v>
      </c>
      <c r="Z5" s="11">
        <v>9448761965</v>
      </c>
      <c r="AA5" s="12" t="s">
        <v>61</v>
      </c>
      <c r="AB5" s="11" t="s">
        <v>41</v>
      </c>
      <c r="AC5" s="12" t="s">
        <v>42</v>
      </c>
      <c r="AD5" s="11" t="s">
        <v>43</v>
      </c>
      <c r="AE5" s="12" t="s">
        <v>44</v>
      </c>
      <c r="AF5" s="14">
        <v>0.14985309999999999</v>
      </c>
      <c r="AG5" s="11" t="s">
        <v>45</v>
      </c>
    </row>
    <row r="6" spans="1:33" x14ac:dyDescent="0.2">
      <c r="A6" s="8">
        <v>1678</v>
      </c>
      <c r="B6" s="9" t="s">
        <v>57</v>
      </c>
      <c r="C6" s="10">
        <v>43252</v>
      </c>
      <c r="D6" s="11">
        <v>150</v>
      </c>
      <c r="E6" s="12" t="s">
        <v>34</v>
      </c>
      <c r="F6" s="12" t="s">
        <v>35</v>
      </c>
      <c r="G6" s="12" t="s">
        <v>36</v>
      </c>
      <c r="H6" s="12" t="s">
        <v>36</v>
      </c>
      <c r="I6" s="11" t="s">
        <v>62</v>
      </c>
      <c r="J6" s="12" t="s">
        <v>63</v>
      </c>
      <c r="K6" s="13" t="s">
        <v>60</v>
      </c>
      <c r="L6" s="11" t="str">
        <f>"000350"</f>
        <v>000350</v>
      </c>
      <c r="M6" s="10">
        <v>42808</v>
      </c>
      <c r="N6" s="11" t="str">
        <f>"000025"</f>
        <v>000025</v>
      </c>
      <c r="O6" s="10">
        <v>43039</v>
      </c>
      <c r="P6" s="11" t="str">
        <f>"000119"</f>
        <v>000119</v>
      </c>
      <c r="Q6" s="10">
        <v>43039</v>
      </c>
      <c r="R6" s="11">
        <v>17</v>
      </c>
      <c r="S6" s="11" t="str">
        <f>"002099"</f>
        <v>002099</v>
      </c>
      <c r="T6" s="10">
        <v>43251</v>
      </c>
      <c r="U6" s="14">
        <v>14.959350000000001</v>
      </c>
      <c r="V6" s="14">
        <v>3.4460500000000001</v>
      </c>
      <c r="W6" s="14">
        <v>11.513299999999999</v>
      </c>
      <c r="X6" s="11">
        <v>66</v>
      </c>
      <c r="Y6" s="10">
        <v>43252</v>
      </c>
      <c r="Z6" s="11">
        <v>9448761965</v>
      </c>
      <c r="AA6" s="12" t="s">
        <v>61</v>
      </c>
      <c r="AB6" s="11" t="s">
        <v>41</v>
      </c>
      <c r="AC6" s="12" t="s">
        <v>42</v>
      </c>
      <c r="AD6" s="11" t="s">
        <v>43</v>
      </c>
      <c r="AE6" s="12" t="s">
        <v>44</v>
      </c>
      <c r="AF6" s="14">
        <v>0.14959350000000002</v>
      </c>
      <c r="AG6" s="11" t="s">
        <v>45</v>
      </c>
    </row>
    <row r="7" spans="1:33" x14ac:dyDescent="0.2">
      <c r="A7" s="8">
        <v>3100</v>
      </c>
      <c r="B7" s="9" t="s">
        <v>64</v>
      </c>
      <c r="C7" s="10">
        <v>43287</v>
      </c>
      <c r="D7" s="11">
        <v>150</v>
      </c>
      <c r="E7" s="12" t="s">
        <v>34</v>
      </c>
      <c r="F7" s="12" t="s">
        <v>35</v>
      </c>
      <c r="G7" s="12" t="s">
        <v>36</v>
      </c>
      <c r="H7" s="12" t="s">
        <v>36</v>
      </c>
      <c r="I7" s="11" t="s">
        <v>65</v>
      </c>
      <c r="J7" s="12" t="s">
        <v>66</v>
      </c>
      <c r="K7" s="13" t="s">
        <v>67</v>
      </c>
      <c r="L7" s="11" t="str">
        <f>"000103"</f>
        <v>000103</v>
      </c>
      <c r="M7" s="10">
        <v>42524</v>
      </c>
      <c r="N7" s="11" t="str">
        <f>"000081"</f>
        <v>000081</v>
      </c>
      <c r="O7" s="10">
        <v>42700</v>
      </c>
      <c r="P7" s="11" t="str">
        <f>"000426"</f>
        <v>000426</v>
      </c>
      <c r="Q7" s="10">
        <v>42703</v>
      </c>
      <c r="R7" s="11">
        <v>16</v>
      </c>
      <c r="S7" s="11" t="str">
        <f>"003232"</f>
        <v>003232</v>
      </c>
      <c r="T7" s="10">
        <v>43283</v>
      </c>
      <c r="U7" s="14">
        <v>44.29233</v>
      </c>
      <c r="V7" s="14">
        <v>5.9921699999999998</v>
      </c>
      <c r="W7" s="14">
        <v>38.300159999999998</v>
      </c>
      <c r="X7" s="11">
        <v>113</v>
      </c>
      <c r="Y7" s="10">
        <v>43287</v>
      </c>
      <c r="Z7" s="11">
        <v>7353903103</v>
      </c>
      <c r="AA7" s="12" t="s">
        <v>68</v>
      </c>
      <c r="AB7" s="11" t="s">
        <v>69</v>
      </c>
      <c r="AC7" s="12" t="s">
        <v>70</v>
      </c>
      <c r="AD7" s="11" t="s">
        <v>43</v>
      </c>
      <c r="AE7" s="12" t="s">
        <v>44</v>
      </c>
      <c r="AF7" s="14">
        <v>0.44292330000000002</v>
      </c>
      <c r="AG7" s="11" t="s">
        <v>45</v>
      </c>
    </row>
    <row r="8" spans="1:33" x14ac:dyDescent="0.2">
      <c r="A8" s="8">
        <v>3101</v>
      </c>
      <c r="B8" s="9" t="s">
        <v>64</v>
      </c>
      <c r="C8" s="10">
        <v>43287</v>
      </c>
      <c r="D8" s="11">
        <v>150</v>
      </c>
      <c r="E8" s="12" t="s">
        <v>34</v>
      </c>
      <c r="F8" s="12" t="s">
        <v>35</v>
      </c>
      <c r="G8" s="12" t="s">
        <v>36</v>
      </c>
      <c r="H8" s="12" t="s">
        <v>36</v>
      </c>
      <c r="I8" s="11" t="s">
        <v>71</v>
      </c>
      <c r="J8" s="12" t="s">
        <v>72</v>
      </c>
      <c r="K8" s="13" t="s">
        <v>52</v>
      </c>
      <c r="L8" s="11" t="str">
        <f>"000028"</f>
        <v>000028</v>
      </c>
      <c r="M8" s="10">
        <v>43249</v>
      </c>
      <c r="N8" s="11" t="str">
        <f>"000018"</f>
        <v>000018</v>
      </c>
      <c r="O8" s="10">
        <v>43249</v>
      </c>
      <c r="P8" s="11" t="str">
        <f>"000058"</f>
        <v>000058</v>
      </c>
      <c r="Q8" s="10">
        <v>43249</v>
      </c>
      <c r="R8" s="11">
        <v>17</v>
      </c>
      <c r="S8" s="11" t="str">
        <f>"003222"</f>
        <v>003222</v>
      </c>
      <c r="T8" s="10">
        <v>43283</v>
      </c>
      <c r="U8" s="14">
        <v>21.2654</v>
      </c>
      <c r="V8" s="14">
        <v>2.1450100000000001</v>
      </c>
      <c r="W8" s="14">
        <v>19.12039</v>
      </c>
      <c r="X8" s="11">
        <v>116</v>
      </c>
      <c r="Y8" s="10">
        <v>43287</v>
      </c>
      <c r="Z8" s="11">
        <v>9480828222</v>
      </c>
      <c r="AA8" s="12" t="s">
        <v>73</v>
      </c>
      <c r="AB8" s="11" t="s">
        <v>74</v>
      </c>
      <c r="AC8" s="12" t="s">
        <v>75</v>
      </c>
      <c r="AD8" s="11" t="s">
        <v>43</v>
      </c>
      <c r="AE8" s="12" t="s">
        <v>44</v>
      </c>
      <c r="AF8" s="14">
        <v>0.21265400000000001</v>
      </c>
      <c r="AG8" s="11" t="s">
        <v>56</v>
      </c>
    </row>
    <row r="9" spans="1:33" x14ac:dyDescent="0.2">
      <c r="A9" s="8">
        <v>3102</v>
      </c>
      <c r="B9" s="9" t="s">
        <v>64</v>
      </c>
      <c r="C9" s="10">
        <v>43287</v>
      </c>
      <c r="D9" s="11">
        <v>150</v>
      </c>
      <c r="E9" s="12" t="s">
        <v>34</v>
      </c>
      <c r="F9" s="12" t="s">
        <v>35</v>
      </c>
      <c r="G9" s="12" t="s">
        <v>36</v>
      </c>
      <c r="H9" s="12" t="s">
        <v>36</v>
      </c>
      <c r="I9" s="11" t="s">
        <v>76</v>
      </c>
      <c r="J9" s="12" t="s">
        <v>77</v>
      </c>
      <c r="K9" s="13" t="s">
        <v>52</v>
      </c>
      <c r="L9" s="11" t="str">
        <f>"010186"</f>
        <v>010186</v>
      </c>
      <c r="M9" s="10">
        <v>42903</v>
      </c>
      <c r="N9" s="11" t="str">
        <f>"000017"</f>
        <v>000017</v>
      </c>
      <c r="O9" s="10">
        <v>43249</v>
      </c>
      <c r="P9" s="11" t="str">
        <f>"000057"</f>
        <v>000057</v>
      </c>
      <c r="Q9" s="10">
        <v>43249</v>
      </c>
      <c r="R9" s="11">
        <v>17</v>
      </c>
      <c r="S9" s="11" t="str">
        <f>"003223"</f>
        <v>003223</v>
      </c>
      <c r="T9" s="10">
        <v>43283</v>
      </c>
      <c r="U9" s="14">
        <v>24.73443</v>
      </c>
      <c r="V9" s="14">
        <v>2.4829400000000001</v>
      </c>
      <c r="W9" s="14">
        <v>22.25149</v>
      </c>
      <c r="X9" s="11">
        <v>116</v>
      </c>
      <c r="Y9" s="10">
        <v>43287</v>
      </c>
      <c r="Z9" s="11">
        <v>9480828222</v>
      </c>
      <c r="AA9" s="12" t="s">
        <v>78</v>
      </c>
      <c r="AB9" s="11" t="s">
        <v>74</v>
      </c>
      <c r="AC9" s="12" t="s">
        <v>75</v>
      </c>
      <c r="AD9" s="11" t="s">
        <v>43</v>
      </c>
      <c r="AE9" s="12" t="s">
        <v>44</v>
      </c>
      <c r="AF9" s="14">
        <v>0.24734429999999999</v>
      </c>
      <c r="AG9" s="11" t="s">
        <v>79</v>
      </c>
    </row>
    <row r="10" spans="1:33" x14ac:dyDescent="0.2">
      <c r="A10" s="8">
        <v>3223</v>
      </c>
      <c r="B10" s="9" t="s">
        <v>64</v>
      </c>
      <c r="C10" s="10">
        <v>43292</v>
      </c>
      <c r="D10" s="11">
        <v>150</v>
      </c>
      <c r="E10" s="12" t="s">
        <v>34</v>
      </c>
      <c r="F10" s="12" t="s">
        <v>35</v>
      </c>
      <c r="G10" s="12" t="s">
        <v>36</v>
      </c>
      <c r="H10" s="12" t="s">
        <v>36</v>
      </c>
      <c r="I10" s="11" t="s">
        <v>80</v>
      </c>
      <c r="J10" s="12" t="s">
        <v>81</v>
      </c>
      <c r="K10" s="13" t="s">
        <v>67</v>
      </c>
      <c r="L10" s="11" t="str">
        <f>"000002"</f>
        <v>000002</v>
      </c>
      <c r="M10" s="10">
        <v>43124</v>
      </c>
      <c r="N10" s="11" t="str">
        <f>"000004"</f>
        <v>000004</v>
      </c>
      <c r="O10" s="10">
        <v>43250</v>
      </c>
      <c r="P10" s="11" t="str">
        <f>"000036"</f>
        <v>000036</v>
      </c>
      <c r="Q10" s="10">
        <v>43251</v>
      </c>
      <c r="R10" s="11">
        <v>18</v>
      </c>
      <c r="S10" s="11" t="str">
        <f>"003551"</f>
        <v>003551</v>
      </c>
      <c r="T10" s="10">
        <v>43291</v>
      </c>
      <c r="U10" s="14">
        <v>107.18</v>
      </c>
      <c r="V10" s="14">
        <v>3.226</v>
      </c>
      <c r="W10" s="14">
        <v>103.95399999999999</v>
      </c>
      <c r="X10" s="11">
        <v>121</v>
      </c>
      <c r="Y10" s="10">
        <v>43292</v>
      </c>
      <c r="Z10" s="11">
        <v>9449680044</v>
      </c>
      <c r="AA10" s="12" t="s">
        <v>82</v>
      </c>
      <c r="AB10" s="11" t="s">
        <v>54</v>
      </c>
      <c r="AC10" s="12" t="s">
        <v>55</v>
      </c>
      <c r="AD10" s="11" t="s">
        <v>83</v>
      </c>
      <c r="AE10" s="12" t="s">
        <v>84</v>
      </c>
      <c r="AF10" s="14">
        <v>1.0718000000000001</v>
      </c>
      <c r="AG10" s="11" t="s">
        <v>79</v>
      </c>
    </row>
    <row r="11" spans="1:33" x14ac:dyDescent="0.2">
      <c r="A11" s="8">
        <v>3344</v>
      </c>
      <c r="B11" s="9" t="s">
        <v>64</v>
      </c>
      <c r="C11" s="10">
        <v>43297</v>
      </c>
      <c r="D11" s="11">
        <v>150</v>
      </c>
      <c r="E11" s="12" t="s">
        <v>34</v>
      </c>
      <c r="F11" s="12" t="s">
        <v>35</v>
      </c>
      <c r="G11" s="12" t="s">
        <v>36</v>
      </c>
      <c r="H11" s="12" t="s">
        <v>36</v>
      </c>
      <c r="I11" s="11" t="s">
        <v>85</v>
      </c>
      <c r="J11" s="12" t="s">
        <v>86</v>
      </c>
      <c r="K11" s="13" t="s">
        <v>67</v>
      </c>
      <c r="L11" s="11" t="str">
        <f>"000076"</f>
        <v>000076</v>
      </c>
      <c r="M11" s="10">
        <v>42513</v>
      </c>
      <c r="N11" s="11" t="str">
        <f>"000095"</f>
        <v>000095</v>
      </c>
      <c r="O11" s="10">
        <v>42700</v>
      </c>
      <c r="P11" s="11" t="str">
        <f>"000429"</f>
        <v>000429</v>
      </c>
      <c r="Q11" s="10">
        <v>42703</v>
      </c>
      <c r="R11" s="11">
        <v>16</v>
      </c>
      <c r="S11" s="11" t="str">
        <f>"003707"</f>
        <v>003707</v>
      </c>
      <c r="T11" s="10">
        <v>43293</v>
      </c>
      <c r="U11" s="14">
        <v>9.8863400000000006</v>
      </c>
      <c r="V11" s="14">
        <v>1.23715</v>
      </c>
      <c r="W11" s="14">
        <v>8.6491900000000008</v>
      </c>
      <c r="X11" s="11">
        <v>125</v>
      </c>
      <c r="Y11" s="10">
        <v>43297</v>
      </c>
      <c r="Z11" s="11">
        <v>9945822555</v>
      </c>
      <c r="AA11" s="12" t="s">
        <v>87</v>
      </c>
      <c r="AB11" s="11" t="s">
        <v>41</v>
      </c>
      <c r="AC11" s="12" t="s">
        <v>42</v>
      </c>
      <c r="AD11" s="11" t="s">
        <v>43</v>
      </c>
      <c r="AE11" s="12" t="s">
        <v>44</v>
      </c>
      <c r="AF11" s="14">
        <v>9.8863400000000004E-2</v>
      </c>
      <c r="AG11" s="11" t="s">
        <v>45</v>
      </c>
    </row>
    <row r="12" spans="1:33" x14ac:dyDescent="0.2">
      <c r="A12" s="8">
        <v>3578</v>
      </c>
      <c r="B12" s="9" t="s">
        <v>64</v>
      </c>
      <c r="C12" s="10">
        <v>43299</v>
      </c>
      <c r="D12" s="11">
        <v>150</v>
      </c>
      <c r="E12" s="12" t="s">
        <v>34</v>
      </c>
      <c r="F12" s="12" t="s">
        <v>35</v>
      </c>
      <c r="G12" s="12" t="s">
        <v>36</v>
      </c>
      <c r="H12" s="12" t="s">
        <v>36</v>
      </c>
      <c r="I12" s="11" t="s">
        <v>88</v>
      </c>
      <c r="J12" s="12" t="s">
        <v>89</v>
      </c>
      <c r="K12" s="13" t="s">
        <v>60</v>
      </c>
      <c r="L12" s="11" t="str">
        <f>"000341"</f>
        <v>000341</v>
      </c>
      <c r="M12" s="10">
        <v>42801</v>
      </c>
      <c r="N12" s="11" t="str">
        <f>"000011"</f>
        <v>000011</v>
      </c>
      <c r="O12" s="10">
        <v>42963</v>
      </c>
      <c r="P12" s="11" t="str">
        <f>"000042"</f>
        <v>000042</v>
      </c>
      <c r="Q12" s="10">
        <v>42966</v>
      </c>
      <c r="R12" s="11">
        <v>17</v>
      </c>
      <c r="S12" s="11" t="str">
        <f>"003792"</f>
        <v>003792</v>
      </c>
      <c r="T12" s="10">
        <v>43294</v>
      </c>
      <c r="U12" s="14">
        <v>6.46943</v>
      </c>
      <c r="V12" s="14">
        <v>0.60163</v>
      </c>
      <c r="W12" s="14">
        <v>5.8677999999999999</v>
      </c>
      <c r="X12" s="11">
        <v>129</v>
      </c>
      <c r="Y12" s="10">
        <v>43299</v>
      </c>
      <c r="Z12" s="11">
        <v>9663326393</v>
      </c>
      <c r="AA12" s="12" t="s">
        <v>90</v>
      </c>
      <c r="AB12" s="11" t="s">
        <v>41</v>
      </c>
      <c r="AC12" s="12" t="s">
        <v>42</v>
      </c>
      <c r="AD12" s="11" t="s">
        <v>43</v>
      </c>
      <c r="AE12" s="12" t="s">
        <v>44</v>
      </c>
      <c r="AF12" s="14">
        <v>6.4694299999999996E-2</v>
      </c>
      <c r="AG12" s="11" t="s">
        <v>45</v>
      </c>
    </row>
    <row r="13" spans="1:33" x14ac:dyDescent="0.2">
      <c r="A13" s="8">
        <v>3579</v>
      </c>
      <c r="B13" s="9" t="s">
        <v>64</v>
      </c>
      <c r="C13" s="10">
        <v>43299</v>
      </c>
      <c r="D13" s="11">
        <v>150</v>
      </c>
      <c r="E13" s="12" t="s">
        <v>34</v>
      </c>
      <c r="F13" s="12" t="s">
        <v>35</v>
      </c>
      <c r="G13" s="12" t="s">
        <v>36</v>
      </c>
      <c r="H13" s="12" t="s">
        <v>36</v>
      </c>
      <c r="I13" s="11" t="s">
        <v>91</v>
      </c>
      <c r="J13" s="12" t="s">
        <v>92</v>
      </c>
      <c r="K13" s="13" t="s">
        <v>39</v>
      </c>
      <c r="L13" s="11" t="str">
        <f>"000083"</f>
        <v>000083</v>
      </c>
      <c r="M13" s="10">
        <v>42843</v>
      </c>
      <c r="N13" s="11" t="str">
        <f>"000010"</f>
        <v>000010</v>
      </c>
      <c r="O13" s="10">
        <v>42963</v>
      </c>
      <c r="P13" s="11" t="str">
        <f>"000043"</f>
        <v>000043</v>
      </c>
      <c r="Q13" s="10">
        <v>42966</v>
      </c>
      <c r="R13" s="11">
        <v>17</v>
      </c>
      <c r="S13" s="11" t="str">
        <f>"003793"</f>
        <v>003793</v>
      </c>
      <c r="T13" s="10">
        <v>43294</v>
      </c>
      <c r="U13" s="14">
        <v>17.543060000000001</v>
      </c>
      <c r="V13" s="14">
        <v>1.6315</v>
      </c>
      <c r="W13" s="14">
        <v>15.91156</v>
      </c>
      <c r="X13" s="11">
        <v>129</v>
      </c>
      <c r="Y13" s="10">
        <v>43299</v>
      </c>
      <c r="Z13" s="11">
        <v>9663326393</v>
      </c>
      <c r="AA13" s="12" t="s">
        <v>90</v>
      </c>
      <c r="AB13" s="11" t="s">
        <v>41</v>
      </c>
      <c r="AC13" s="12" t="s">
        <v>42</v>
      </c>
      <c r="AD13" s="11" t="s">
        <v>43</v>
      </c>
      <c r="AE13" s="12" t="s">
        <v>44</v>
      </c>
      <c r="AF13" s="14">
        <v>0.17543059999999999</v>
      </c>
      <c r="AG13" s="11" t="s">
        <v>45</v>
      </c>
    </row>
    <row r="14" spans="1:33" x14ac:dyDescent="0.2">
      <c r="A14" s="8">
        <v>3580</v>
      </c>
      <c r="B14" s="9" t="s">
        <v>64</v>
      </c>
      <c r="C14" s="10">
        <v>43299</v>
      </c>
      <c r="D14" s="11">
        <v>150</v>
      </c>
      <c r="E14" s="12" t="s">
        <v>34</v>
      </c>
      <c r="F14" s="12" t="s">
        <v>35</v>
      </c>
      <c r="G14" s="12" t="s">
        <v>36</v>
      </c>
      <c r="H14" s="12" t="s">
        <v>36</v>
      </c>
      <c r="I14" s="11" t="s">
        <v>93</v>
      </c>
      <c r="J14" s="12" t="s">
        <v>94</v>
      </c>
      <c r="K14" s="13" t="s">
        <v>60</v>
      </c>
      <c r="L14" s="11" t="str">
        <f>"000030"</f>
        <v>000030</v>
      </c>
      <c r="M14" s="10">
        <v>42963</v>
      </c>
      <c r="N14" s="11" t="str">
        <f>"000012"</f>
        <v>000012</v>
      </c>
      <c r="O14" s="10">
        <v>42963</v>
      </c>
      <c r="P14" s="11" t="str">
        <f>"000044"</f>
        <v>000044</v>
      </c>
      <c r="Q14" s="10">
        <v>42966</v>
      </c>
      <c r="R14" s="11">
        <v>17</v>
      </c>
      <c r="S14" s="11" t="str">
        <f>"003794"</f>
        <v>003794</v>
      </c>
      <c r="T14" s="10">
        <v>43294</v>
      </c>
      <c r="U14" s="14">
        <v>39.790460000000003</v>
      </c>
      <c r="V14" s="14">
        <v>3.70051</v>
      </c>
      <c r="W14" s="14">
        <v>36.089950000000002</v>
      </c>
      <c r="X14" s="11">
        <v>129</v>
      </c>
      <c r="Y14" s="10">
        <v>43299</v>
      </c>
      <c r="Z14" s="11">
        <v>9663326393</v>
      </c>
      <c r="AA14" s="12" t="s">
        <v>95</v>
      </c>
      <c r="AB14" s="11" t="s">
        <v>96</v>
      </c>
      <c r="AC14" s="12" t="s">
        <v>97</v>
      </c>
      <c r="AD14" s="11" t="s">
        <v>43</v>
      </c>
      <c r="AE14" s="12" t="s">
        <v>44</v>
      </c>
      <c r="AF14" s="14">
        <v>0.39790460000000005</v>
      </c>
      <c r="AG14" s="11" t="s">
        <v>45</v>
      </c>
    </row>
    <row r="15" spans="1:33" x14ac:dyDescent="0.2">
      <c r="A15" s="8">
        <v>3685</v>
      </c>
      <c r="B15" s="9" t="s">
        <v>64</v>
      </c>
      <c r="C15" s="10">
        <v>43300</v>
      </c>
      <c r="D15" s="11">
        <v>150</v>
      </c>
      <c r="E15" s="12" t="s">
        <v>34</v>
      </c>
      <c r="F15" s="12" t="s">
        <v>35</v>
      </c>
      <c r="G15" s="12" t="s">
        <v>36</v>
      </c>
      <c r="H15" s="12" t="s">
        <v>36</v>
      </c>
      <c r="I15" s="11" t="s">
        <v>98</v>
      </c>
      <c r="J15" s="12" t="s">
        <v>99</v>
      </c>
      <c r="K15" s="13" t="s">
        <v>100</v>
      </c>
      <c r="L15" s="11" t="str">
        <f>"000014"</f>
        <v>000014</v>
      </c>
      <c r="M15" s="10">
        <v>40794</v>
      </c>
      <c r="N15" s="11" t="str">
        <f>"000009"</f>
        <v>000009</v>
      </c>
      <c r="O15" s="10">
        <v>43182</v>
      </c>
      <c r="P15" s="11" t="str">
        <f>"000159"</f>
        <v>000159</v>
      </c>
      <c r="Q15" s="10">
        <v>43186</v>
      </c>
      <c r="R15" s="11">
        <v>11</v>
      </c>
      <c r="S15" s="11" t="str">
        <f>"003891"</f>
        <v>003891</v>
      </c>
      <c r="T15" s="10">
        <v>43297</v>
      </c>
      <c r="U15" s="14">
        <v>144.30000000000001</v>
      </c>
      <c r="V15" s="14">
        <v>9.2309999999999999</v>
      </c>
      <c r="W15" s="14">
        <v>135.06899999999999</v>
      </c>
      <c r="X15" s="11">
        <v>131</v>
      </c>
      <c r="Y15" s="10">
        <v>43300</v>
      </c>
      <c r="Z15" s="11">
        <v>9845246510</v>
      </c>
      <c r="AA15" s="12" t="s">
        <v>101</v>
      </c>
      <c r="AB15" s="11" t="s">
        <v>102</v>
      </c>
      <c r="AC15" s="12" t="s">
        <v>103</v>
      </c>
      <c r="AD15" s="11" t="s">
        <v>83</v>
      </c>
      <c r="AE15" s="12" t="s">
        <v>84</v>
      </c>
      <c r="AF15" s="14">
        <v>1.4430000000000001</v>
      </c>
      <c r="AG15" s="11" t="s">
        <v>45</v>
      </c>
    </row>
    <row r="16" spans="1:33" x14ac:dyDescent="0.2">
      <c r="A16" s="8">
        <v>3782</v>
      </c>
      <c r="B16" s="9" t="s">
        <v>64</v>
      </c>
      <c r="C16" s="10">
        <v>43301</v>
      </c>
      <c r="D16" s="11">
        <v>150</v>
      </c>
      <c r="E16" s="12" t="s">
        <v>34</v>
      </c>
      <c r="F16" s="12" t="s">
        <v>35</v>
      </c>
      <c r="G16" s="12" t="s">
        <v>36</v>
      </c>
      <c r="H16" s="12" t="s">
        <v>36</v>
      </c>
      <c r="I16" s="11" t="s">
        <v>104</v>
      </c>
      <c r="J16" s="12" t="s">
        <v>105</v>
      </c>
      <c r="K16" s="13" t="s">
        <v>67</v>
      </c>
      <c r="L16" s="11" t="str">
        <f>"000047"</f>
        <v>000047</v>
      </c>
      <c r="M16" s="10">
        <v>43131</v>
      </c>
      <c r="N16" s="11" t="str">
        <f>"000062"</f>
        <v>000062</v>
      </c>
      <c r="O16" s="10">
        <v>43160</v>
      </c>
      <c r="P16" s="11" t="str">
        <f>"000064"</f>
        <v>000064</v>
      </c>
      <c r="Q16" s="10">
        <v>43160</v>
      </c>
      <c r="R16" s="11">
        <v>17</v>
      </c>
      <c r="S16" s="11" t="str">
        <f>"004883"</f>
        <v>004883</v>
      </c>
      <c r="T16" s="10">
        <v>43316</v>
      </c>
      <c r="U16" s="14">
        <v>10.729660000000001</v>
      </c>
      <c r="V16" s="14">
        <v>1.3165100000000001</v>
      </c>
      <c r="W16" s="14">
        <v>9.4131499999999999</v>
      </c>
      <c r="X16" s="11">
        <v>134</v>
      </c>
      <c r="Y16" s="10">
        <v>43301</v>
      </c>
      <c r="Z16" s="11">
        <v>0</v>
      </c>
      <c r="AA16" s="12" t="s">
        <v>106</v>
      </c>
      <c r="AB16" s="11" t="s">
        <v>107</v>
      </c>
      <c r="AC16" s="12" t="s">
        <v>108</v>
      </c>
      <c r="AD16" s="11" t="s">
        <v>109</v>
      </c>
      <c r="AE16" s="12" t="s">
        <v>110</v>
      </c>
      <c r="AF16" s="14">
        <v>0.10729660000000001</v>
      </c>
      <c r="AG16" s="11" t="s">
        <v>45</v>
      </c>
    </row>
    <row r="17" spans="1:33" x14ac:dyDescent="0.2">
      <c r="A17" s="8">
        <v>4154</v>
      </c>
      <c r="B17" s="9" t="s">
        <v>64</v>
      </c>
      <c r="C17" s="10">
        <v>43308</v>
      </c>
      <c r="D17" s="11">
        <v>150</v>
      </c>
      <c r="E17" s="12" t="s">
        <v>34</v>
      </c>
      <c r="F17" s="12" t="s">
        <v>35</v>
      </c>
      <c r="G17" s="12" t="s">
        <v>36</v>
      </c>
      <c r="H17" s="12" t="s">
        <v>36</v>
      </c>
      <c r="I17" s="11" t="s">
        <v>111</v>
      </c>
      <c r="J17" s="12" t="s">
        <v>112</v>
      </c>
      <c r="K17" s="13" t="s">
        <v>67</v>
      </c>
      <c r="L17" s="11" t="str">
        <f>"0009"</f>
        <v>0009</v>
      </c>
      <c r="M17" s="10">
        <v>1</v>
      </c>
      <c r="N17" s="11" t="str">
        <f>"000030"</f>
        <v>000030</v>
      </c>
      <c r="O17" s="10">
        <v>43018</v>
      </c>
      <c r="P17" s="11" t="str">
        <f>"000029"</f>
        <v>000029</v>
      </c>
      <c r="Q17" s="10">
        <v>43018</v>
      </c>
      <c r="R17" s="11">
        <v>16</v>
      </c>
      <c r="S17" s="11" t="str">
        <f>"004564"</f>
        <v>004564</v>
      </c>
      <c r="T17" s="10">
        <v>43313</v>
      </c>
      <c r="U17" s="14">
        <v>21.753299999999999</v>
      </c>
      <c r="V17" s="14">
        <v>2.66866</v>
      </c>
      <c r="W17" s="14">
        <v>19.08464</v>
      </c>
      <c r="X17" s="11">
        <v>146</v>
      </c>
      <c r="Y17" s="10">
        <v>43308</v>
      </c>
      <c r="Z17" s="11">
        <v>9980452347</v>
      </c>
      <c r="AA17" s="12" t="s">
        <v>113</v>
      </c>
      <c r="AB17" s="11" t="s">
        <v>107</v>
      </c>
      <c r="AC17" s="12" t="s">
        <v>108</v>
      </c>
      <c r="AD17" s="11" t="s">
        <v>109</v>
      </c>
      <c r="AE17" s="12" t="s">
        <v>110</v>
      </c>
      <c r="AF17" s="14">
        <v>0.217533</v>
      </c>
      <c r="AG17" s="11" t="s">
        <v>45</v>
      </c>
    </row>
    <row r="18" spans="1:33" x14ac:dyDescent="0.2">
      <c r="A18" s="8">
        <v>4155</v>
      </c>
      <c r="B18" s="9" t="s">
        <v>64</v>
      </c>
      <c r="C18" s="10">
        <v>43308</v>
      </c>
      <c r="D18" s="11">
        <v>150</v>
      </c>
      <c r="E18" s="12" t="s">
        <v>34</v>
      </c>
      <c r="F18" s="12" t="s">
        <v>35</v>
      </c>
      <c r="G18" s="12" t="s">
        <v>36</v>
      </c>
      <c r="H18" s="12" t="s">
        <v>36</v>
      </c>
      <c r="I18" s="11" t="s">
        <v>111</v>
      </c>
      <c r="J18" s="12" t="s">
        <v>112</v>
      </c>
      <c r="K18" s="13" t="s">
        <v>67</v>
      </c>
      <c r="L18" s="11" t="str">
        <f>"0009"</f>
        <v>0009</v>
      </c>
      <c r="M18" s="10">
        <v>1</v>
      </c>
      <c r="N18" s="11" t="str">
        <f>"000030"</f>
        <v>000030</v>
      </c>
      <c r="O18" s="10">
        <v>43018</v>
      </c>
      <c r="P18" s="11" t="str">
        <f>"000029"</f>
        <v>000029</v>
      </c>
      <c r="Q18" s="10">
        <v>43018</v>
      </c>
      <c r="R18" s="11">
        <v>16</v>
      </c>
      <c r="S18" s="11" t="str">
        <f>"004564"</f>
        <v>004564</v>
      </c>
      <c r="T18" s="10">
        <v>43313</v>
      </c>
      <c r="U18" s="14">
        <v>8.9934799999999999</v>
      </c>
      <c r="V18" s="14">
        <v>1.11188</v>
      </c>
      <c r="W18" s="14">
        <v>7.8815999999999997</v>
      </c>
      <c r="X18" s="11">
        <v>146</v>
      </c>
      <c r="Y18" s="10">
        <v>43308</v>
      </c>
      <c r="Z18" s="11">
        <v>9980452347</v>
      </c>
      <c r="AA18" s="12" t="s">
        <v>113</v>
      </c>
      <c r="AB18" s="11" t="s">
        <v>107</v>
      </c>
      <c r="AC18" s="12" t="s">
        <v>108</v>
      </c>
      <c r="AD18" s="11" t="s">
        <v>109</v>
      </c>
      <c r="AE18" s="12" t="s">
        <v>110</v>
      </c>
      <c r="AF18" s="14">
        <v>8.9934799999999995E-2</v>
      </c>
      <c r="AG18" s="11" t="s">
        <v>45</v>
      </c>
    </row>
    <row r="19" spans="1:33" x14ac:dyDescent="0.2">
      <c r="A19" s="8">
        <v>4323</v>
      </c>
      <c r="B19" s="9" t="s">
        <v>114</v>
      </c>
      <c r="C19" s="10">
        <v>43315</v>
      </c>
      <c r="D19" s="11">
        <v>150</v>
      </c>
      <c r="E19" s="12" t="s">
        <v>34</v>
      </c>
      <c r="F19" s="12" t="s">
        <v>35</v>
      </c>
      <c r="G19" s="12" t="s">
        <v>36</v>
      </c>
      <c r="H19" s="12" t="s">
        <v>36</v>
      </c>
      <c r="I19" s="11" t="s">
        <v>115</v>
      </c>
      <c r="J19" s="12" t="s">
        <v>116</v>
      </c>
      <c r="K19" s="13" t="s">
        <v>67</v>
      </c>
      <c r="L19" s="11" t="str">
        <f>"000192"</f>
        <v>000192</v>
      </c>
      <c r="M19" s="10">
        <v>42731</v>
      </c>
      <c r="N19" s="11" t="str">
        <f>"000118"</f>
        <v>000118</v>
      </c>
      <c r="O19" s="10">
        <v>42773</v>
      </c>
      <c r="P19" s="11" t="str">
        <f>"000542"</f>
        <v>000542</v>
      </c>
      <c r="Q19" s="10">
        <v>42773</v>
      </c>
      <c r="R19" s="11">
        <v>16</v>
      </c>
      <c r="S19" s="11" t="str">
        <f>"004536"</f>
        <v>004536</v>
      </c>
      <c r="T19" s="10">
        <v>43309</v>
      </c>
      <c r="U19" s="14">
        <v>3.6461600000000001</v>
      </c>
      <c r="V19" s="14">
        <v>0.46699000000000002</v>
      </c>
      <c r="W19" s="14">
        <v>3.1791700000000001</v>
      </c>
      <c r="X19" s="11">
        <v>152</v>
      </c>
      <c r="Y19" s="10">
        <v>43315</v>
      </c>
      <c r="Z19" s="11">
        <v>9663779514</v>
      </c>
      <c r="AA19" s="12" t="s">
        <v>117</v>
      </c>
      <c r="AB19" s="11" t="s">
        <v>118</v>
      </c>
      <c r="AC19" s="12" t="s">
        <v>119</v>
      </c>
      <c r="AD19" s="11" t="s">
        <v>43</v>
      </c>
      <c r="AE19" s="12" t="s">
        <v>44</v>
      </c>
      <c r="AF19" s="14">
        <v>3.6461600000000004E-2</v>
      </c>
      <c r="AG19" s="11" t="s">
        <v>45</v>
      </c>
    </row>
    <row r="20" spans="1:33" x14ac:dyDescent="0.2">
      <c r="A20" s="8">
        <v>4565</v>
      </c>
      <c r="B20" s="9" t="s">
        <v>114</v>
      </c>
      <c r="C20" s="10">
        <v>43318</v>
      </c>
      <c r="D20" s="11">
        <v>150</v>
      </c>
      <c r="E20" s="12" t="s">
        <v>34</v>
      </c>
      <c r="F20" s="12" t="s">
        <v>35</v>
      </c>
      <c r="G20" s="12" t="s">
        <v>36</v>
      </c>
      <c r="H20" s="12" t="s">
        <v>36</v>
      </c>
      <c r="I20" s="11" t="s">
        <v>111</v>
      </c>
      <c r="J20" s="12" t="s">
        <v>112</v>
      </c>
      <c r="K20" s="13" t="s">
        <v>67</v>
      </c>
      <c r="L20" s="11" t="str">
        <f>"0009"</f>
        <v>0009</v>
      </c>
      <c r="M20" s="10">
        <v>1</v>
      </c>
      <c r="N20" s="11" t="str">
        <f>"000030"</f>
        <v>000030</v>
      </c>
      <c r="O20" s="10">
        <v>43018</v>
      </c>
      <c r="P20" s="11" t="str">
        <f>"000029"</f>
        <v>000029</v>
      </c>
      <c r="Q20" s="10">
        <v>43018</v>
      </c>
      <c r="R20" s="11">
        <v>16</v>
      </c>
      <c r="S20" s="11" t="str">
        <f>"004564"</f>
        <v>004564</v>
      </c>
      <c r="T20" s="10">
        <v>43313</v>
      </c>
      <c r="U20" s="14">
        <v>17.765180000000001</v>
      </c>
      <c r="V20" s="14">
        <v>2.1949000000000001</v>
      </c>
      <c r="W20" s="14">
        <v>15.57028</v>
      </c>
      <c r="X20" s="11">
        <v>157</v>
      </c>
      <c r="Y20" s="10">
        <v>43318</v>
      </c>
      <c r="Z20" s="11">
        <v>9980452347</v>
      </c>
      <c r="AA20" s="12" t="s">
        <v>113</v>
      </c>
      <c r="AB20" s="11" t="s">
        <v>107</v>
      </c>
      <c r="AC20" s="12" t="s">
        <v>108</v>
      </c>
      <c r="AD20" s="11" t="s">
        <v>109</v>
      </c>
      <c r="AE20" s="12" t="s">
        <v>110</v>
      </c>
      <c r="AF20" s="14">
        <v>0.1776518</v>
      </c>
      <c r="AG20" s="11" t="s">
        <v>45</v>
      </c>
    </row>
    <row r="21" spans="1:33" x14ac:dyDescent="0.2">
      <c r="A21" s="8">
        <v>4566</v>
      </c>
      <c r="B21" s="9" t="s">
        <v>114</v>
      </c>
      <c r="C21" s="10">
        <v>43318</v>
      </c>
      <c r="D21" s="11">
        <v>150</v>
      </c>
      <c r="E21" s="12" t="s">
        <v>34</v>
      </c>
      <c r="F21" s="12" t="s">
        <v>35</v>
      </c>
      <c r="G21" s="12" t="s">
        <v>36</v>
      </c>
      <c r="H21" s="12" t="s">
        <v>36</v>
      </c>
      <c r="I21" s="11" t="s">
        <v>104</v>
      </c>
      <c r="J21" s="12" t="s">
        <v>105</v>
      </c>
      <c r="K21" s="13" t="s">
        <v>67</v>
      </c>
      <c r="L21" s="11" t="str">
        <f>"000047"</f>
        <v>000047</v>
      </c>
      <c r="M21" s="10">
        <v>43131</v>
      </c>
      <c r="N21" s="11" t="str">
        <f>"000062"</f>
        <v>000062</v>
      </c>
      <c r="O21" s="10">
        <v>43160</v>
      </c>
      <c r="P21" s="11" t="str">
        <f>"000064"</f>
        <v>000064</v>
      </c>
      <c r="Q21" s="10">
        <v>43160</v>
      </c>
      <c r="R21" s="11">
        <v>17</v>
      </c>
      <c r="S21" s="11" t="str">
        <f>"004883"</f>
        <v>004883</v>
      </c>
      <c r="T21" s="10">
        <v>43316</v>
      </c>
      <c r="U21" s="14">
        <v>4.2915799999999997</v>
      </c>
      <c r="V21" s="14">
        <v>0.52956999999999999</v>
      </c>
      <c r="W21" s="14">
        <v>3.7620100000000001</v>
      </c>
      <c r="X21" s="11">
        <v>157</v>
      </c>
      <c r="Y21" s="10">
        <v>43318</v>
      </c>
      <c r="Z21" s="11">
        <v>0</v>
      </c>
      <c r="AA21" s="12" t="s">
        <v>106</v>
      </c>
      <c r="AB21" s="11" t="s">
        <v>107</v>
      </c>
      <c r="AC21" s="12" t="s">
        <v>108</v>
      </c>
      <c r="AD21" s="11" t="s">
        <v>109</v>
      </c>
      <c r="AE21" s="12" t="s">
        <v>110</v>
      </c>
      <c r="AF21" s="14">
        <v>4.2915799999999997E-2</v>
      </c>
      <c r="AG21" s="11" t="s">
        <v>45</v>
      </c>
    </row>
    <row r="22" spans="1:33" x14ac:dyDescent="0.2">
      <c r="A22" s="8">
        <v>4567</v>
      </c>
      <c r="B22" s="9" t="s">
        <v>114</v>
      </c>
      <c r="C22" s="10">
        <v>43318</v>
      </c>
      <c r="D22" s="11">
        <v>150</v>
      </c>
      <c r="E22" s="12" t="s">
        <v>34</v>
      </c>
      <c r="F22" s="12" t="s">
        <v>35</v>
      </c>
      <c r="G22" s="12" t="s">
        <v>36</v>
      </c>
      <c r="H22" s="12" t="s">
        <v>36</v>
      </c>
      <c r="I22" s="11" t="s">
        <v>120</v>
      </c>
      <c r="J22" s="12" t="s">
        <v>121</v>
      </c>
      <c r="K22" s="13" t="s">
        <v>39</v>
      </c>
      <c r="L22" s="11" t="str">
        <f>"000102"</f>
        <v>000102</v>
      </c>
      <c r="M22" s="10">
        <v>42524</v>
      </c>
      <c r="N22" s="11" t="str">
        <f>"000121"</f>
        <v>000121</v>
      </c>
      <c r="O22" s="10">
        <v>42782</v>
      </c>
      <c r="P22" s="11" t="str">
        <f>"000584"</f>
        <v>000584</v>
      </c>
      <c r="Q22" s="10">
        <v>42794</v>
      </c>
      <c r="R22" s="11">
        <v>16</v>
      </c>
      <c r="S22" s="11" t="str">
        <f>"004721"</f>
        <v>004721</v>
      </c>
      <c r="T22" s="10">
        <v>43314</v>
      </c>
      <c r="U22" s="14">
        <v>28.79175</v>
      </c>
      <c r="V22" s="14">
        <v>3.73346</v>
      </c>
      <c r="W22" s="14">
        <v>25.05829</v>
      </c>
      <c r="X22" s="11">
        <v>159</v>
      </c>
      <c r="Y22" s="10">
        <v>43318</v>
      </c>
      <c r="Z22" s="11">
        <v>9945896321</v>
      </c>
      <c r="AA22" s="12" t="s">
        <v>122</v>
      </c>
      <c r="AB22" s="11" t="s">
        <v>69</v>
      </c>
      <c r="AC22" s="12" t="s">
        <v>70</v>
      </c>
      <c r="AD22" s="11" t="s">
        <v>43</v>
      </c>
      <c r="AE22" s="12" t="s">
        <v>44</v>
      </c>
      <c r="AF22" s="14">
        <v>0.28791749999999999</v>
      </c>
      <c r="AG22" s="11" t="s">
        <v>45</v>
      </c>
    </row>
    <row r="23" spans="1:33" x14ac:dyDescent="0.2">
      <c r="A23" s="8">
        <v>4881</v>
      </c>
      <c r="B23" s="9" t="s">
        <v>114</v>
      </c>
      <c r="C23" s="10">
        <v>43326</v>
      </c>
      <c r="D23" s="11">
        <v>150</v>
      </c>
      <c r="E23" s="12" t="s">
        <v>34</v>
      </c>
      <c r="F23" s="12" t="s">
        <v>35</v>
      </c>
      <c r="G23" s="12" t="s">
        <v>36</v>
      </c>
      <c r="H23" s="12" t="s">
        <v>36</v>
      </c>
      <c r="I23" s="11" t="s">
        <v>123</v>
      </c>
      <c r="J23" s="12" t="s">
        <v>124</v>
      </c>
      <c r="K23" s="13" t="s">
        <v>67</v>
      </c>
      <c r="L23" s="11" t="str">
        <f>"000130"</f>
        <v>000130</v>
      </c>
      <c r="M23" s="10">
        <v>42906</v>
      </c>
      <c r="N23" s="11" t="str">
        <f>"000113"</f>
        <v>000113</v>
      </c>
      <c r="O23" s="10">
        <v>42754</v>
      </c>
      <c r="P23" s="11" t="str">
        <f>"000521"</f>
        <v>000521</v>
      </c>
      <c r="Q23" s="10">
        <v>42758</v>
      </c>
      <c r="R23" s="11">
        <v>16</v>
      </c>
      <c r="S23" s="11" t="str">
        <f>"004911"</f>
        <v>004911</v>
      </c>
      <c r="T23" s="10">
        <v>43318</v>
      </c>
      <c r="U23" s="14">
        <v>4.52562</v>
      </c>
      <c r="V23" s="14">
        <v>0.58636999999999995</v>
      </c>
      <c r="W23" s="14">
        <v>3.9392499999999999</v>
      </c>
      <c r="X23" s="11">
        <v>170</v>
      </c>
      <c r="Y23" s="10">
        <v>43326</v>
      </c>
      <c r="Z23" s="11">
        <v>9945360662</v>
      </c>
      <c r="AA23" s="12" t="s">
        <v>125</v>
      </c>
      <c r="AB23" s="11" t="s">
        <v>41</v>
      </c>
      <c r="AC23" s="12" t="s">
        <v>42</v>
      </c>
      <c r="AD23" s="11" t="s">
        <v>43</v>
      </c>
      <c r="AE23" s="12" t="s">
        <v>44</v>
      </c>
      <c r="AF23" s="14">
        <v>4.5256199999999996E-2</v>
      </c>
      <c r="AG23" s="11" t="s">
        <v>45</v>
      </c>
    </row>
    <row r="24" spans="1:33" x14ac:dyDescent="0.2">
      <c r="A24" s="8">
        <v>6225</v>
      </c>
      <c r="B24" s="9" t="s">
        <v>126</v>
      </c>
      <c r="C24" s="10">
        <v>43385</v>
      </c>
      <c r="D24" s="11">
        <v>150</v>
      </c>
      <c r="E24" s="12" t="s">
        <v>34</v>
      </c>
      <c r="F24" s="12" t="s">
        <v>35</v>
      </c>
      <c r="G24" s="12" t="s">
        <v>36</v>
      </c>
      <c r="H24" s="12" t="s">
        <v>36</v>
      </c>
      <c r="I24" s="11" t="s">
        <v>127</v>
      </c>
      <c r="J24" s="12" t="s">
        <v>128</v>
      </c>
      <c r="K24" s="13" t="s">
        <v>129</v>
      </c>
      <c r="L24" s="11" t="str">
        <f>"000007"</f>
        <v>000007</v>
      </c>
      <c r="M24" s="10">
        <v>43137</v>
      </c>
      <c r="N24" s="11" t="str">
        <f>"000011"</f>
        <v>000011</v>
      </c>
      <c r="O24" s="10">
        <v>43342</v>
      </c>
      <c r="P24" s="11" t="str">
        <f>"000130"</f>
        <v>000130</v>
      </c>
      <c r="Q24" s="10">
        <v>43343</v>
      </c>
      <c r="R24" s="11">
        <v>18</v>
      </c>
      <c r="S24" s="11" t="str">
        <f>"006938"</f>
        <v>006938</v>
      </c>
      <c r="T24" s="10">
        <v>43398</v>
      </c>
      <c r="U24" s="14">
        <v>143.38999999999999</v>
      </c>
      <c r="V24" s="14">
        <v>4.0609999999999999</v>
      </c>
      <c r="W24" s="14">
        <v>139.32900000000001</v>
      </c>
      <c r="X24" s="11">
        <v>227</v>
      </c>
      <c r="Y24" s="10">
        <v>43385</v>
      </c>
      <c r="Z24" s="11">
        <v>9845853135</v>
      </c>
      <c r="AA24" s="12" t="s">
        <v>130</v>
      </c>
      <c r="AB24" s="11" t="s">
        <v>54</v>
      </c>
      <c r="AC24" s="12" t="s">
        <v>55</v>
      </c>
      <c r="AD24" s="11" t="s">
        <v>83</v>
      </c>
      <c r="AE24" s="12" t="s">
        <v>84</v>
      </c>
      <c r="AF24" s="14">
        <f t="shared" ref="AF24:AF49" si="0">U24/100</f>
        <v>1.4339</v>
      </c>
      <c r="AG24" s="11" t="s">
        <v>79</v>
      </c>
    </row>
    <row r="25" spans="1:33" x14ac:dyDescent="0.2">
      <c r="A25" s="8">
        <v>6226</v>
      </c>
      <c r="B25" s="9" t="s">
        <v>126</v>
      </c>
      <c r="C25" s="10">
        <v>43385</v>
      </c>
      <c r="D25" s="11">
        <v>150</v>
      </c>
      <c r="E25" s="12" t="s">
        <v>34</v>
      </c>
      <c r="F25" s="12" t="s">
        <v>35</v>
      </c>
      <c r="G25" s="12" t="s">
        <v>36</v>
      </c>
      <c r="H25" s="12" t="s">
        <v>36</v>
      </c>
      <c r="I25" s="11" t="s">
        <v>131</v>
      </c>
      <c r="J25" s="12" t="s">
        <v>132</v>
      </c>
      <c r="K25" s="13" t="s">
        <v>129</v>
      </c>
      <c r="L25" s="11" t="str">
        <f>"000006"</f>
        <v>000006</v>
      </c>
      <c r="M25" s="10">
        <v>43133</v>
      </c>
      <c r="N25" s="11" t="str">
        <f>"000018"</f>
        <v>000018</v>
      </c>
      <c r="O25" s="10">
        <v>43446</v>
      </c>
      <c r="P25" s="11" t="str">
        <f>"000213"</f>
        <v>000213</v>
      </c>
      <c r="Q25" s="10">
        <v>43449</v>
      </c>
      <c r="R25" s="11">
        <v>18</v>
      </c>
      <c r="S25" s="11" t="str">
        <f>"008605"</f>
        <v>008605</v>
      </c>
      <c r="T25" s="10">
        <v>43470</v>
      </c>
      <c r="U25" s="14">
        <v>60.363</v>
      </c>
      <c r="V25" s="14">
        <v>1.6719999999999999</v>
      </c>
      <c r="W25" s="14">
        <v>58.691000000000003</v>
      </c>
      <c r="X25" s="11">
        <v>228</v>
      </c>
      <c r="Y25" s="10">
        <v>43385</v>
      </c>
      <c r="Z25" s="11">
        <v>9448086360</v>
      </c>
      <c r="AA25" s="12" t="s">
        <v>133</v>
      </c>
      <c r="AB25" s="11" t="s">
        <v>54</v>
      </c>
      <c r="AC25" s="12" t="s">
        <v>55</v>
      </c>
      <c r="AD25" s="11" t="s">
        <v>83</v>
      </c>
      <c r="AE25" s="12" t="s">
        <v>84</v>
      </c>
      <c r="AF25" s="14">
        <f t="shared" si="0"/>
        <v>0.60363</v>
      </c>
      <c r="AG25" s="11" t="s">
        <v>79</v>
      </c>
    </row>
    <row r="26" spans="1:33" x14ac:dyDescent="0.2">
      <c r="A26" s="8">
        <v>6227</v>
      </c>
      <c r="B26" s="9" t="s">
        <v>126</v>
      </c>
      <c r="C26" s="10">
        <v>43385</v>
      </c>
      <c r="D26" s="11">
        <v>150</v>
      </c>
      <c r="E26" s="12" t="s">
        <v>34</v>
      </c>
      <c r="F26" s="12" t="s">
        <v>35</v>
      </c>
      <c r="G26" s="12" t="s">
        <v>36</v>
      </c>
      <c r="H26" s="12" t="s">
        <v>36</v>
      </c>
      <c r="I26" s="11" t="s">
        <v>127</v>
      </c>
      <c r="J26" s="12" t="s">
        <v>128</v>
      </c>
      <c r="K26" s="13" t="s">
        <v>129</v>
      </c>
      <c r="L26" s="11" t="str">
        <f>"000007"</f>
        <v>000007</v>
      </c>
      <c r="M26" s="10">
        <v>43137</v>
      </c>
      <c r="N26" s="11" t="str">
        <f>"000011"</f>
        <v>000011</v>
      </c>
      <c r="O26" s="10">
        <v>43342</v>
      </c>
      <c r="P26" s="11" t="str">
        <f>"000130"</f>
        <v>000130</v>
      </c>
      <c r="Q26" s="10">
        <v>43343</v>
      </c>
      <c r="R26" s="11">
        <v>18</v>
      </c>
      <c r="S26" s="11" t="str">
        <f>"006938"</f>
        <v>006938</v>
      </c>
      <c r="T26" s="10">
        <v>43398</v>
      </c>
      <c r="U26" s="14">
        <v>143.38999999999999</v>
      </c>
      <c r="V26" s="14">
        <v>4.0609999999999999</v>
      </c>
      <c r="W26" s="14">
        <v>139.32900000000001</v>
      </c>
      <c r="X26" s="11">
        <v>227</v>
      </c>
      <c r="Y26" s="10">
        <v>43385</v>
      </c>
      <c r="Z26" s="11">
        <v>9845853135</v>
      </c>
      <c r="AA26" s="12" t="s">
        <v>130</v>
      </c>
      <c r="AB26" s="11" t="s">
        <v>54</v>
      </c>
      <c r="AC26" s="12" t="s">
        <v>55</v>
      </c>
      <c r="AD26" s="11" t="s">
        <v>83</v>
      </c>
      <c r="AE26" s="12" t="s">
        <v>84</v>
      </c>
      <c r="AF26" s="14">
        <f t="shared" si="0"/>
        <v>1.4339</v>
      </c>
      <c r="AG26" s="11" t="s">
        <v>79</v>
      </c>
    </row>
    <row r="27" spans="1:33" x14ac:dyDescent="0.2">
      <c r="A27" s="8">
        <v>6228</v>
      </c>
      <c r="B27" s="9" t="s">
        <v>126</v>
      </c>
      <c r="C27" s="10">
        <v>43385</v>
      </c>
      <c r="D27" s="11">
        <v>150</v>
      </c>
      <c r="E27" s="12" t="s">
        <v>34</v>
      </c>
      <c r="F27" s="12" t="s">
        <v>35</v>
      </c>
      <c r="G27" s="12" t="s">
        <v>36</v>
      </c>
      <c r="H27" s="12" t="s">
        <v>36</v>
      </c>
      <c r="I27" s="11" t="s">
        <v>131</v>
      </c>
      <c r="J27" s="12" t="s">
        <v>132</v>
      </c>
      <c r="K27" s="13" t="s">
        <v>129</v>
      </c>
      <c r="L27" s="11" t="str">
        <f>"000006"</f>
        <v>000006</v>
      </c>
      <c r="M27" s="10">
        <v>43133</v>
      </c>
      <c r="N27" s="11" t="str">
        <f>"000018"</f>
        <v>000018</v>
      </c>
      <c r="O27" s="10">
        <v>43446</v>
      </c>
      <c r="P27" s="11" t="str">
        <f>"000213"</f>
        <v>000213</v>
      </c>
      <c r="Q27" s="10">
        <v>43449</v>
      </c>
      <c r="R27" s="11">
        <v>18</v>
      </c>
      <c r="S27" s="11" t="str">
        <f>"008605"</f>
        <v>008605</v>
      </c>
      <c r="T27" s="10">
        <v>43470</v>
      </c>
      <c r="U27" s="14">
        <v>60.363</v>
      </c>
      <c r="V27" s="14">
        <v>1.6719999999999999</v>
      </c>
      <c r="W27" s="14">
        <v>58.691000000000003</v>
      </c>
      <c r="X27" s="11">
        <v>228</v>
      </c>
      <c r="Y27" s="10">
        <v>43385</v>
      </c>
      <c r="Z27" s="11">
        <v>9448086360</v>
      </c>
      <c r="AA27" s="12" t="s">
        <v>133</v>
      </c>
      <c r="AB27" s="11" t="s">
        <v>54</v>
      </c>
      <c r="AC27" s="12" t="s">
        <v>55</v>
      </c>
      <c r="AD27" s="11" t="s">
        <v>83</v>
      </c>
      <c r="AE27" s="12" t="s">
        <v>84</v>
      </c>
      <c r="AF27" s="14">
        <f t="shared" si="0"/>
        <v>0.60363</v>
      </c>
      <c r="AG27" s="11" t="s">
        <v>79</v>
      </c>
    </row>
    <row r="28" spans="1:33" x14ac:dyDescent="0.2">
      <c r="A28" s="8">
        <v>6229</v>
      </c>
      <c r="B28" s="9" t="s">
        <v>126</v>
      </c>
      <c r="C28" s="10">
        <v>43385</v>
      </c>
      <c r="D28" s="11">
        <v>150</v>
      </c>
      <c r="E28" s="12" t="s">
        <v>34</v>
      </c>
      <c r="F28" s="12" t="s">
        <v>35</v>
      </c>
      <c r="G28" s="12" t="s">
        <v>36</v>
      </c>
      <c r="H28" s="12" t="s">
        <v>36</v>
      </c>
      <c r="I28" s="11" t="s">
        <v>50</v>
      </c>
      <c r="J28" s="12" t="s">
        <v>51</v>
      </c>
      <c r="K28" s="13" t="s">
        <v>52</v>
      </c>
      <c r="L28" s="11" t="str">
        <f>"000001"</f>
        <v>000001</v>
      </c>
      <c r="M28" s="10">
        <v>43196</v>
      </c>
      <c r="N28" s="11" t="str">
        <f>"000022"</f>
        <v>000022</v>
      </c>
      <c r="O28" s="10">
        <v>43301</v>
      </c>
      <c r="P28" s="11" t="str">
        <f>"000084"</f>
        <v>000084</v>
      </c>
      <c r="Q28" s="10">
        <v>43301</v>
      </c>
      <c r="R28" s="11">
        <v>16</v>
      </c>
      <c r="S28" s="11" t="str">
        <f>"006312"</f>
        <v>006312</v>
      </c>
      <c r="T28" s="10">
        <v>43380</v>
      </c>
      <c r="U28" s="14">
        <v>33.205590000000001</v>
      </c>
      <c r="V28" s="14">
        <v>0.91371000000000002</v>
      </c>
      <c r="W28" s="14">
        <v>32.291879999999999</v>
      </c>
      <c r="X28" s="11">
        <v>232</v>
      </c>
      <c r="Y28" s="10">
        <v>43385</v>
      </c>
      <c r="Z28" s="11">
        <v>9845034278</v>
      </c>
      <c r="AA28" s="12" t="s">
        <v>53</v>
      </c>
      <c r="AB28" s="11" t="s">
        <v>54</v>
      </c>
      <c r="AC28" s="12" t="s">
        <v>55</v>
      </c>
      <c r="AD28" s="11" t="s">
        <v>43</v>
      </c>
      <c r="AE28" s="12" t="s">
        <v>44</v>
      </c>
      <c r="AF28" s="14">
        <f t="shared" si="0"/>
        <v>0.33205590000000001</v>
      </c>
      <c r="AG28" s="11" t="s">
        <v>56</v>
      </c>
    </row>
    <row r="29" spans="1:33" x14ac:dyDescent="0.2">
      <c r="A29" s="8">
        <v>6614</v>
      </c>
      <c r="B29" s="9" t="s">
        <v>126</v>
      </c>
      <c r="C29" s="10">
        <v>43389</v>
      </c>
      <c r="D29" s="11">
        <v>150</v>
      </c>
      <c r="E29" s="12" t="s">
        <v>34</v>
      </c>
      <c r="F29" s="12" t="s">
        <v>35</v>
      </c>
      <c r="G29" s="12" t="s">
        <v>36</v>
      </c>
      <c r="H29" s="12" t="s">
        <v>36</v>
      </c>
      <c r="I29" s="11" t="s">
        <v>134</v>
      </c>
      <c r="J29" s="12" t="s">
        <v>135</v>
      </c>
      <c r="K29" s="13" t="s">
        <v>60</v>
      </c>
      <c r="L29" s="11" t="str">
        <f>"000140"</f>
        <v>000140</v>
      </c>
      <c r="M29" s="10">
        <v>43125</v>
      </c>
      <c r="N29" s="11" t="str">
        <f>"000052"</f>
        <v>000052</v>
      </c>
      <c r="O29" s="10">
        <v>43125</v>
      </c>
      <c r="P29" s="11" t="str">
        <f>"000225"</f>
        <v>000225</v>
      </c>
      <c r="Q29" s="10">
        <v>43125</v>
      </c>
      <c r="R29" s="11">
        <v>17</v>
      </c>
      <c r="S29" s="11" t="str">
        <f>"006464"</f>
        <v>006464</v>
      </c>
      <c r="T29" s="10">
        <v>43382</v>
      </c>
      <c r="U29" s="14">
        <v>6.8482200000000004</v>
      </c>
      <c r="V29" s="14">
        <v>0.50004999999999999</v>
      </c>
      <c r="W29" s="14">
        <v>6.3481699999999996</v>
      </c>
      <c r="X29" s="11">
        <v>241</v>
      </c>
      <c r="Y29" s="10">
        <v>43389</v>
      </c>
      <c r="Z29" s="11">
        <v>9481544777</v>
      </c>
      <c r="AA29" s="12" t="s">
        <v>136</v>
      </c>
      <c r="AB29" s="11" t="s">
        <v>41</v>
      </c>
      <c r="AC29" s="12" t="s">
        <v>42</v>
      </c>
      <c r="AD29" s="11" t="s">
        <v>43</v>
      </c>
      <c r="AE29" s="12" t="s">
        <v>44</v>
      </c>
      <c r="AF29" s="14">
        <f t="shared" si="0"/>
        <v>6.8482200000000007E-2</v>
      </c>
      <c r="AG29" s="11" t="s">
        <v>45</v>
      </c>
    </row>
    <row r="30" spans="1:33" x14ac:dyDescent="0.2">
      <c r="A30" s="8">
        <v>6881</v>
      </c>
      <c r="B30" s="9" t="s">
        <v>126</v>
      </c>
      <c r="C30" s="10">
        <v>43399</v>
      </c>
      <c r="D30" s="11">
        <v>150</v>
      </c>
      <c r="E30" s="12" t="s">
        <v>34</v>
      </c>
      <c r="F30" s="12" t="s">
        <v>35</v>
      </c>
      <c r="G30" s="12" t="s">
        <v>36</v>
      </c>
      <c r="H30" s="12" t="s">
        <v>36</v>
      </c>
      <c r="I30" s="11" t="s">
        <v>127</v>
      </c>
      <c r="J30" s="12" t="s">
        <v>128</v>
      </c>
      <c r="K30" s="13" t="s">
        <v>129</v>
      </c>
      <c r="L30" s="11" t="str">
        <f>"000007"</f>
        <v>000007</v>
      </c>
      <c r="M30" s="10">
        <v>43137</v>
      </c>
      <c r="N30" s="11" t="str">
        <f>"000011"</f>
        <v>000011</v>
      </c>
      <c r="O30" s="10">
        <v>43342</v>
      </c>
      <c r="P30" s="11" t="str">
        <f>"000130"</f>
        <v>000130</v>
      </c>
      <c r="Q30" s="10">
        <v>43343</v>
      </c>
      <c r="R30" s="11">
        <v>18</v>
      </c>
      <c r="S30" s="11" t="str">
        <f>"006938"</f>
        <v>006938</v>
      </c>
      <c r="T30" s="10">
        <v>43398</v>
      </c>
      <c r="U30" s="14">
        <v>69.650000000000006</v>
      </c>
      <c r="V30" s="14">
        <v>2.145</v>
      </c>
      <c r="W30" s="14">
        <v>67.504999999999995</v>
      </c>
      <c r="X30" s="11">
        <v>250</v>
      </c>
      <c r="Y30" s="10">
        <v>43399</v>
      </c>
      <c r="Z30" s="11">
        <v>9845853135</v>
      </c>
      <c r="AA30" s="12" t="s">
        <v>130</v>
      </c>
      <c r="AB30" s="11" t="s">
        <v>54</v>
      </c>
      <c r="AC30" s="12" t="s">
        <v>55</v>
      </c>
      <c r="AD30" s="11" t="s">
        <v>83</v>
      </c>
      <c r="AE30" s="12" t="s">
        <v>84</v>
      </c>
      <c r="AF30" s="14">
        <f t="shared" si="0"/>
        <v>0.69650000000000001</v>
      </c>
      <c r="AG30" s="11" t="s">
        <v>79</v>
      </c>
    </row>
    <row r="31" spans="1:33" x14ac:dyDescent="0.2">
      <c r="A31" s="8">
        <v>6939</v>
      </c>
      <c r="B31" s="9" t="s">
        <v>126</v>
      </c>
      <c r="C31" s="10">
        <v>43402</v>
      </c>
      <c r="D31" s="11">
        <v>150</v>
      </c>
      <c r="E31" s="12" t="s">
        <v>34</v>
      </c>
      <c r="F31" s="12" t="s">
        <v>35</v>
      </c>
      <c r="G31" s="12" t="s">
        <v>36</v>
      </c>
      <c r="H31" s="12" t="s">
        <v>36</v>
      </c>
      <c r="I31" s="11" t="s">
        <v>137</v>
      </c>
      <c r="J31" s="12" t="s">
        <v>138</v>
      </c>
      <c r="K31" s="13" t="s">
        <v>129</v>
      </c>
      <c r="L31" s="11" t="str">
        <f>"000001"</f>
        <v>000001</v>
      </c>
      <c r="M31" s="10">
        <v>43108</v>
      </c>
      <c r="N31" s="11" t="str">
        <f>"000013"</f>
        <v>000013</v>
      </c>
      <c r="O31" s="10">
        <v>43385</v>
      </c>
      <c r="P31" s="11" t="str">
        <f>"000182"</f>
        <v>000182</v>
      </c>
      <c r="Q31" s="10">
        <v>43385</v>
      </c>
      <c r="R31" s="11">
        <v>18</v>
      </c>
      <c r="S31" s="11" t="str">
        <f>"007027"</f>
        <v>007027</v>
      </c>
      <c r="T31" s="10">
        <v>43400</v>
      </c>
      <c r="U31" s="14">
        <v>53.65</v>
      </c>
      <c r="V31" s="14">
        <v>2.6829999999999998</v>
      </c>
      <c r="W31" s="14">
        <v>50.966999999999999</v>
      </c>
      <c r="X31" s="11">
        <v>252</v>
      </c>
      <c r="Y31" s="10">
        <v>43402</v>
      </c>
      <c r="Z31" s="11">
        <v>9886433379</v>
      </c>
      <c r="AA31" s="12" t="s">
        <v>139</v>
      </c>
      <c r="AB31" s="11" t="s">
        <v>54</v>
      </c>
      <c r="AC31" s="12" t="s">
        <v>55</v>
      </c>
      <c r="AD31" s="11" t="s">
        <v>83</v>
      </c>
      <c r="AE31" s="12" t="s">
        <v>84</v>
      </c>
      <c r="AF31" s="14">
        <f t="shared" si="0"/>
        <v>0.53649999999999998</v>
      </c>
      <c r="AG31" s="11" t="s">
        <v>79</v>
      </c>
    </row>
    <row r="32" spans="1:33" x14ac:dyDescent="0.2">
      <c r="A32" s="8">
        <v>7111</v>
      </c>
      <c r="B32" s="9" t="s">
        <v>126</v>
      </c>
      <c r="C32" s="10">
        <v>43404</v>
      </c>
      <c r="D32" s="11">
        <v>150</v>
      </c>
      <c r="E32" s="12" t="s">
        <v>34</v>
      </c>
      <c r="F32" s="12" t="s">
        <v>35</v>
      </c>
      <c r="G32" s="12" t="s">
        <v>36</v>
      </c>
      <c r="H32" s="12" t="s">
        <v>36</v>
      </c>
      <c r="I32" s="11" t="s">
        <v>140</v>
      </c>
      <c r="J32" s="12" t="s">
        <v>141</v>
      </c>
      <c r="K32" s="13" t="s">
        <v>52</v>
      </c>
      <c r="L32" s="11" t="str">
        <f>"000018"</f>
        <v>000018</v>
      </c>
      <c r="M32" s="10">
        <v>43218</v>
      </c>
      <c r="N32" s="11" t="str">
        <f>"000010"</f>
        <v>000010</v>
      </c>
      <c r="O32" s="10">
        <v>43218</v>
      </c>
      <c r="P32" s="11" t="str">
        <f>"000039"</f>
        <v>000039</v>
      </c>
      <c r="Q32" s="10">
        <v>43218</v>
      </c>
      <c r="R32" s="11">
        <v>18</v>
      </c>
      <c r="S32" s="11" t="str">
        <f>"007163"</f>
        <v>007163</v>
      </c>
      <c r="T32" s="10">
        <v>43403</v>
      </c>
      <c r="U32" s="14">
        <v>14.97053</v>
      </c>
      <c r="V32" s="14">
        <v>1.7643599999999999</v>
      </c>
      <c r="W32" s="14">
        <v>13.20617</v>
      </c>
      <c r="X32" s="11">
        <v>260</v>
      </c>
      <c r="Y32" s="10">
        <v>43404</v>
      </c>
      <c r="Z32" s="11">
        <v>9480828222</v>
      </c>
      <c r="AA32" s="12" t="s">
        <v>142</v>
      </c>
      <c r="AB32" s="11" t="s">
        <v>102</v>
      </c>
      <c r="AC32" s="12" t="s">
        <v>103</v>
      </c>
      <c r="AD32" s="11" t="s">
        <v>43</v>
      </c>
      <c r="AE32" s="12" t="s">
        <v>44</v>
      </c>
      <c r="AF32" s="14">
        <f t="shared" si="0"/>
        <v>0.14970530000000001</v>
      </c>
      <c r="AG32" s="11" t="s">
        <v>56</v>
      </c>
    </row>
    <row r="33" spans="1:33" x14ac:dyDescent="0.2">
      <c r="A33" s="8">
        <v>7112</v>
      </c>
      <c r="B33" s="9" t="s">
        <v>126</v>
      </c>
      <c r="C33" s="10">
        <v>43404</v>
      </c>
      <c r="D33" s="11">
        <v>150</v>
      </c>
      <c r="E33" s="12" t="s">
        <v>34</v>
      </c>
      <c r="F33" s="12" t="s">
        <v>35</v>
      </c>
      <c r="G33" s="12" t="s">
        <v>36</v>
      </c>
      <c r="H33" s="12" t="s">
        <v>36</v>
      </c>
      <c r="I33" s="11" t="s">
        <v>143</v>
      </c>
      <c r="J33" s="12" t="s">
        <v>144</v>
      </c>
      <c r="K33" s="13" t="s">
        <v>60</v>
      </c>
      <c r="L33" s="11" t="str">
        <f>"000017"</f>
        <v>000017</v>
      </c>
      <c r="M33" s="10">
        <v>43217</v>
      </c>
      <c r="N33" s="11" t="str">
        <f>"000009"</f>
        <v>000009</v>
      </c>
      <c r="O33" s="10">
        <v>43217</v>
      </c>
      <c r="P33" s="11" t="str">
        <f>"000036"</f>
        <v>000036</v>
      </c>
      <c r="Q33" s="10">
        <v>43217</v>
      </c>
      <c r="R33" s="11">
        <v>18</v>
      </c>
      <c r="S33" s="11" t="str">
        <f>"007164"</f>
        <v>007164</v>
      </c>
      <c r="T33" s="10">
        <v>43403</v>
      </c>
      <c r="U33" s="14">
        <v>14.385350000000001</v>
      </c>
      <c r="V33" s="14">
        <v>1.6828799999999999</v>
      </c>
      <c r="W33" s="14">
        <v>12.70247</v>
      </c>
      <c r="X33" s="11">
        <v>260</v>
      </c>
      <c r="Y33" s="10">
        <v>43404</v>
      </c>
      <c r="Z33" s="11">
        <v>9480828222</v>
      </c>
      <c r="AA33" s="12" t="s">
        <v>142</v>
      </c>
      <c r="AB33" s="11" t="s">
        <v>102</v>
      </c>
      <c r="AC33" s="12" t="s">
        <v>103</v>
      </c>
      <c r="AD33" s="11" t="s">
        <v>43</v>
      </c>
      <c r="AE33" s="12" t="s">
        <v>44</v>
      </c>
      <c r="AF33" s="14">
        <f t="shared" si="0"/>
        <v>0.1438535</v>
      </c>
      <c r="AG33" s="11" t="s">
        <v>56</v>
      </c>
    </row>
    <row r="34" spans="1:33" x14ac:dyDescent="0.2">
      <c r="A34" s="8">
        <v>7259</v>
      </c>
      <c r="B34" s="9" t="s">
        <v>145</v>
      </c>
      <c r="C34" s="10">
        <v>43420</v>
      </c>
      <c r="D34" s="11">
        <v>150</v>
      </c>
      <c r="E34" s="12" t="s">
        <v>34</v>
      </c>
      <c r="F34" s="12" t="s">
        <v>35</v>
      </c>
      <c r="G34" s="12" t="s">
        <v>36</v>
      </c>
      <c r="H34" s="12" t="s">
        <v>36</v>
      </c>
      <c r="I34" s="11" t="s">
        <v>146</v>
      </c>
      <c r="J34" s="12" t="s">
        <v>147</v>
      </c>
      <c r="K34" s="13" t="s">
        <v>52</v>
      </c>
      <c r="L34" s="11" t="str">
        <f>"000093"</f>
        <v>000093</v>
      </c>
      <c r="M34" s="10">
        <v>42521</v>
      </c>
      <c r="N34" s="11" t="str">
        <f>"000019"</f>
        <v>000019</v>
      </c>
      <c r="O34" s="10">
        <v>42884</v>
      </c>
      <c r="P34" s="11" t="str">
        <f>"000058"</f>
        <v>000058</v>
      </c>
      <c r="Q34" s="10">
        <v>42884</v>
      </c>
      <c r="R34" s="11">
        <v>16</v>
      </c>
      <c r="S34" s="11" t="str">
        <f>"007283"</f>
        <v>007283</v>
      </c>
      <c r="T34" s="10">
        <v>43407</v>
      </c>
      <c r="U34" s="14">
        <v>28.991299999999999</v>
      </c>
      <c r="V34" s="14">
        <v>3.7109700000000001</v>
      </c>
      <c r="W34" s="14">
        <v>25.280329999999999</v>
      </c>
      <c r="X34" s="11">
        <v>266</v>
      </c>
      <c r="Y34" s="10">
        <v>43420</v>
      </c>
      <c r="Z34" s="11">
        <v>9482785691</v>
      </c>
      <c r="AA34" s="12" t="s">
        <v>68</v>
      </c>
      <c r="AB34" s="11" t="s">
        <v>69</v>
      </c>
      <c r="AC34" s="12" t="s">
        <v>70</v>
      </c>
      <c r="AD34" s="11" t="s">
        <v>43</v>
      </c>
      <c r="AE34" s="12" t="s">
        <v>44</v>
      </c>
      <c r="AF34" s="14">
        <f t="shared" si="0"/>
        <v>0.28991299999999998</v>
      </c>
      <c r="AG34" s="11" t="s">
        <v>45</v>
      </c>
    </row>
    <row r="35" spans="1:33" x14ac:dyDescent="0.2">
      <c r="A35" s="8">
        <v>8113</v>
      </c>
      <c r="B35" s="9" t="s">
        <v>148</v>
      </c>
      <c r="C35" s="10">
        <v>43466</v>
      </c>
      <c r="D35" s="11">
        <v>150</v>
      </c>
      <c r="E35" s="12" t="s">
        <v>34</v>
      </c>
      <c r="F35" s="12" t="s">
        <v>35</v>
      </c>
      <c r="G35" s="12" t="s">
        <v>36</v>
      </c>
      <c r="H35" s="12" t="s">
        <v>36</v>
      </c>
      <c r="I35" s="11" t="s">
        <v>149</v>
      </c>
      <c r="J35" s="12" t="s">
        <v>150</v>
      </c>
      <c r="K35" s="13" t="s">
        <v>52</v>
      </c>
      <c r="L35" s="11" t="str">
        <f>"000074"</f>
        <v>000074</v>
      </c>
      <c r="M35" s="10">
        <v>42829</v>
      </c>
      <c r="N35" s="11" t="str">
        <f>"000023"</f>
        <v>000023</v>
      </c>
      <c r="O35" s="10">
        <v>43311</v>
      </c>
      <c r="P35" s="11" t="str">
        <f>"000116"</f>
        <v>000116</v>
      </c>
      <c r="Q35" s="10">
        <v>43313</v>
      </c>
      <c r="R35" s="11"/>
      <c r="S35" s="11" t="str">
        <f>"008256"</f>
        <v>008256</v>
      </c>
      <c r="T35" s="10">
        <v>43461</v>
      </c>
      <c r="U35" s="14">
        <v>19.96454</v>
      </c>
      <c r="V35" s="14">
        <v>2.8331</v>
      </c>
      <c r="W35" s="14">
        <v>17.131440000000001</v>
      </c>
      <c r="X35" s="11">
        <v>308</v>
      </c>
      <c r="Y35" s="10">
        <v>43466</v>
      </c>
      <c r="Z35" s="11">
        <v>9480828222</v>
      </c>
      <c r="AA35" s="12" t="s">
        <v>78</v>
      </c>
      <c r="AB35" s="11" t="s">
        <v>69</v>
      </c>
      <c r="AC35" s="12" t="s">
        <v>70</v>
      </c>
      <c r="AD35" s="11" t="s">
        <v>43</v>
      </c>
      <c r="AE35" s="12" t="s">
        <v>44</v>
      </c>
      <c r="AF35" s="14">
        <f t="shared" si="0"/>
        <v>0.1996454</v>
      </c>
      <c r="AG35" s="11" t="s">
        <v>79</v>
      </c>
    </row>
    <row r="36" spans="1:33" x14ac:dyDescent="0.2">
      <c r="A36" s="8">
        <v>8306</v>
      </c>
      <c r="B36" s="9" t="s">
        <v>148</v>
      </c>
      <c r="C36" s="10">
        <v>43467</v>
      </c>
      <c r="D36" s="11">
        <v>150</v>
      </c>
      <c r="E36" s="12" t="s">
        <v>34</v>
      </c>
      <c r="F36" s="12" t="s">
        <v>35</v>
      </c>
      <c r="G36" s="12" t="s">
        <v>36</v>
      </c>
      <c r="H36" s="12" t="s">
        <v>36</v>
      </c>
      <c r="I36" s="11" t="s">
        <v>151</v>
      </c>
      <c r="J36" s="12" t="s">
        <v>152</v>
      </c>
      <c r="K36" s="13" t="s">
        <v>60</v>
      </c>
      <c r="L36" s="11" t="str">
        <f>"000179"</f>
        <v>000179</v>
      </c>
      <c r="M36" s="10">
        <v>43178</v>
      </c>
      <c r="N36" s="11" t="str">
        <f>"000004"</f>
        <v>000004</v>
      </c>
      <c r="O36" s="10">
        <v>43203</v>
      </c>
      <c r="P36" s="11" t="str">
        <f>"000013"</f>
        <v>000013</v>
      </c>
      <c r="Q36" s="10">
        <v>43203</v>
      </c>
      <c r="R36" s="11"/>
      <c r="S36" s="11" t="str">
        <f>"008175"</f>
        <v>008175</v>
      </c>
      <c r="T36" s="10">
        <v>43455</v>
      </c>
      <c r="U36" s="14">
        <v>9.7933699999999995</v>
      </c>
      <c r="V36" s="14">
        <v>0.91076999999999997</v>
      </c>
      <c r="W36" s="14">
        <v>8.8826000000000001</v>
      </c>
      <c r="X36" s="11">
        <v>310</v>
      </c>
      <c r="Y36" s="10">
        <v>43467</v>
      </c>
      <c r="Z36" s="11">
        <v>9663326393</v>
      </c>
      <c r="AA36" s="12" t="s">
        <v>153</v>
      </c>
      <c r="AB36" s="11" t="s">
        <v>41</v>
      </c>
      <c r="AC36" s="12" t="s">
        <v>42</v>
      </c>
      <c r="AD36" s="11" t="s">
        <v>43</v>
      </c>
      <c r="AE36" s="12" t="s">
        <v>44</v>
      </c>
      <c r="AF36" s="14">
        <f t="shared" si="0"/>
        <v>9.7933699999999999E-2</v>
      </c>
      <c r="AG36" s="11" t="s">
        <v>79</v>
      </c>
    </row>
    <row r="37" spans="1:33" x14ac:dyDescent="0.2">
      <c r="A37" s="8">
        <v>8307</v>
      </c>
      <c r="B37" s="9" t="s">
        <v>148</v>
      </c>
      <c r="C37" s="10">
        <v>43467</v>
      </c>
      <c r="D37" s="11">
        <v>150</v>
      </c>
      <c r="E37" s="12" t="s">
        <v>34</v>
      </c>
      <c r="F37" s="12" t="s">
        <v>35</v>
      </c>
      <c r="G37" s="12" t="s">
        <v>36</v>
      </c>
      <c r="H37" s="12" t="s">
        <v>36</v>
      </c>
      <c r="I37" s="11" t="s">
        <v>151</v>
      </c>
      <c r="J37" s="12" t="s">
        <v>152</v>
      </c>
      <c r="K37" s="13" t="s">
        <v>60</v>
      </c>
      <c r="L37" s="11" t="str">
        <f>"000179"</f>
        <v>000179</v>
      </c>
      <c r="M37" s="10">
        <v>43178</v>
      </c>
      <c r="N37" s="11" t="str">
        <f>"000004"</f>
        <v>000004</v>
      </c>
      <c r="O37" s="10">
        <v>43203</v>
      </c>
      <c r="P37" s="11" t="str">
        <f>"000013"</f>
        <v>000013</v>
      </c>
      <c r="Q37" s="10">
        <v>43203</v>
      </c>
      <c r="R37" s="11"/>
      <c r="S37" s="11" t="str">
        <f>"008175"</f>
        <v>008175</v>
      </c>
      <c r="T37" s="10">
        <v>43455</v>
      </c>
      <c r="U37" s="14">
        <v>3.65808</v>
      </c>
      <c r="V37" s="14">
        <v>0.3402</v>
      </c>
      <c r="W37" s="14">
        <v>3.3178800000000002</v>
      </c>
      <c r="X37" s="11">
        <v>310</v>
      </c>
      <c r="Y37" s="10">
        <v>43467</v>
      </c>
      <c r="Z37" s="11">
        <v>9663326393</v>
      </c>
      <c r="AA37" s="12" t="s">
        <v>90</v>
      </c>
      <c r="AB37" s="11" t="s">
        <v>41</v>
      </c>
      <c r="AC37" s="12" t="s">
        <v>42</v>
      </c>
      <c r="AD37" s="11" t="s">
        <v>43</v>
      </c>
      <c r="AE37" s="12" t="s">
        <v>44</v>
      </c>
      <c r="AF37" s="14">
        <f t="shared" si="0"/>
        <v>3.6580799999999997E-2</v>
      </c>
      <c r="AG37" s="11" t="s">
        <v>79</v>
      </c>
    </row>
    <row r="38" spans="1:33" x14ac:dyDescent="0.2">
      <c r="A38" s="8">
        <v>8308</v>
      </c>
      <c r="B38" s="9" t="s">
        <v>148</v>
      </c>
      <c r="C38" s="10">
        <v>43467</v>
      </c>
      <c r="D38" s="11">
        <v>150</v>
      </c>
      <c r="E38" s="12" t="s">
        <v>34</v>
      </c>
      <c r="F38" s="12" t="s">
        <v>35</v>
      </c>
      <c r="G38" s="12" t="s">
        <v>36</v>
      </c>
      <c r="H38" s="12" t="s">
        <v>36</v>
      </c>
      <c r="I38" s="11" t="s">
        <v>151</v>
      </c>
      <c r="J38" s="12" t="s">
        <v>152</v>
      </c>
      <c r="K38" s="13" t="s">
        <v>60</v>
      </c>
      <c r="L38" s="11" t="str">
        <f>"000179"</f>
        <v>000179</v>
      </c>
      <c r="M38" s="10">
        <v>43178</v>
      </c>
      <c r="N38" s="11" t="str">
        <f>"000004"</f>
        <v>000004</v>
      </c>
      <c r="O38" s="10">
        <v>43203</v>
      </c>
      <c r="P38" s="11" t="str">
        <f>"000013"</f>
        <v>000013</v>
      </c>
      <c r="Q38" s="10">
        <v>43203</v>
      </c>
      <c r="R38" s="11"/>
      <c r="S38" s="11" t="str">
        <f>"008175"</f>
        <v>008175</v>
      </c>
      <c r="T38" s="10">
        <v>43455</v>
      </c>
      <c r="U38" s="14">
        <v>6.3844500000000002</v>
      </c>
      <c r="V38" s="14">
        <v>0.59375</v>
      </c>
      <c r="W38" s="14">
        <v>5.7907000000000002</v>
      </c>
      <c r="X38" s="11">
        <v>310</v>
      </c>
      <c r="Y38" s="10">
        <v>43467</v>
      </c>
      <c r="Z38" s="11">
        <v>9663326393</v>
      </c>
      <c r="AA38" s="12" t="s">
        <v>154</v>
      </c>
      <c r="AB38" s="11" t="s">
        <v>41</v>
      </c>
      <c r="AC38" s="12" t="s">
        <v>42</v>
      </c>
      <c r="AD38" s="11" t="s">
        <v>43</v>
      </c>
      <c r="AE38" s="12" t="s">
        <v>44</v>
      </c>
      <c r="AF38" s="14">
        <f t="shared" si="0"/>
        <v>6.3844499999999998E-2</v>
      </c>
      <c r="AG38" s="11" t="s">
        <v>79</v>
      </c>
    </row>
    <row r="39" spans="1:33" x14ac:dyDescent="0.2">
      <c r="A39" s="8">
        <v>8309</v>
      </c>
      <c r="B39" s="9" t="s">
        <v>148</v>
      </c>
      <c r="C39" s="10">
        <v>43467</v>
      </c>
      <c r="D39" s="11">
        <v>150</v>
      </c>
      <c r="E39" s="12" t="s">
        <v>34</v>
      </c>
      <c r="F39" s="12" t="s">
        <v>35</v>
      </c>
      <c r="G39" s="12" t="s">
        <v>36</v>
      </c>
      <c r="H39" s="12" t="s">
        <v>36</v>
      </c>
      <c r="I39" s="11" t="s">
        <v>91</v>
      </c>
      <c r="J39" s="12" t="s">
        <v>92</v>
      </c>
      <c r="K39" s="13" t="s">
        <v>39</v>
      </c>
      <c r="L39" s="11" t="str">
        <f>"000083"</f>
        <v>000083</v>
      </c>
      <c r="M39" s="10">
        <v>42843</v>
      </c>
      <c r="N39" s="11" t="str">
        <f>"000007"</f>
        <v>000007</v>
      </c>
      <c r="O39" s="10">
        <v>43203</v>
      </c>
      <c r="P39" s="11" t="str">
        <f>"000016"</f>
        <v>000016</v>
      </c>
      <c r="Q39" s="10">
        <v>43203</v>
      </c>
      <c r="R39" s="11"/>
      <c r="S39" s="11" t="str">
        <f>"008177"</f>
        <v>008177</v>
      </c>
      <c r="T39" s="10">
        <v>43455</v>
      </c>
      <c r="U39" s="14">
        <v>10.13106</v>
      </c>
      <c r="V39" s="14">
        <v>0.94220000000000004</v>
      </c>
      <c r="W39" s="14">
        <v>9.18886</v>
      </c>
      <c r="X39" s="11">
        <v>310</v>
      </c>
      <c r="Y39" s="10">
        <v>43467</v>
      </c>
      <c r="Z39" s="11">
        <v>9663326393</v>
      </c>
      <c r="AA39" s="12" t="s">
        <v>90</v>
      </c>
      <c r="AB39" s="11" t="s">
        <v>41</v>
      </c>
      <c r="AC39" s="12" t="s">
        <v>42</v>
      </c>
      <c r="AD39" s="11" t="s">
        <v>43</v>
      </c>
      <c r="AE39" s="12" t="s">
        <v>44</v>
      </c>
      <c r="AF39" s="14">
        <f t="shared" si="0"/>
        <v>0.1013106</v>
      </c>
      <c r="AG39" s="11" t="s">
        <v>79</v>
      </c>
    </row>
    <row r="40" spans="1:33" x14ac:dyDescent="0.2">
      <c r="A40" s="8">
        <v>8310</v>
      </c>
      <c r="B40" s="9" t="s">
        <v>148</v>
      </c>
      <c r="C40" s="10">
        <v>43467</v>
      </c>
      <c r="D40" s="11">
        <v>150</v>
      </c>
      <c r="E40" s="12" t="s">
        <v>34</v>
      </c>
      <c r="F40" s="12" t="s">
        <v>35</v>
      </c>
      <c r="G40" s="12" t="s">
        <v>36</v>
      </c>
      <c r="H40" s="12" t="s">
        <v>36</v>
      </c>
      <c r="I40" s="11" t="s">
        <v>88</v>
      </c>
      <c r="J40" s="12" t="s">
        <v>89</v>
      </c>
      <c r="K40" s="13" t="s">
        <v>60</v>
      </c>
      <c r="L40" s="11" t="str">
        <f>"000341"</f>
        <v>000341</v>
      </c>
      <c r="M40" s="10">
        <v>42801</v>
      </c>
      <c r="N40" s="11" t="str">
        <f>"000008"</f>
        <v>000008</v>
      </c>
      <c r="O40" s="10">
        <v>43203</v>
      </c>
      <c r="P40" s="11" t="str">
        <f>"000017"</f>
        <v>000017</v>
      </c>
      <c r="Q40" s="10">
        <v>43203</v>
      </c>
      <c r="R40" s="11"/>
      <c r="S40" s="11" t="str">
        <f>"008178"</f>
        <v>008178</v>
      </c>
      <c r="T40" s="10">
        <v>43455</v>
      </c>
      <c r="U40" s="14">
        <v>5.4411199999999997</v>
      </c>
      <c r="V40" s="14">
        <v>0.50602999999999998</v>
      </c>
      <c r="W40" s="14">
        <v>4.9350899999999998</v>
      </c>
      <c r="X40" s="11">
        <v>310</v>
      </c>
      <c r="Y40" s="10">
        <v>43467</v>
      </c>
      <c r="Z40" s="11">
        <v>9663326393</v>
      </c>
      <c r="AA40" s="12" t="s">
        <v>90</v>
      </c>
      <c r="AB40" s="11" t="s">
        <v>41</v>
      </c>
      <c r="AC40" s="12" t="s">
        <v>42</v>
      </c>
      <c r="AD40" s="11" t="s">
        <v>43</v>
      </c>
      <c r="AE40" s="12" t="s">
        <v>44</v>
      </c>
      <c r="AF40" s="14">
        <f t="shared" si="0"/>
        <v>5.44112E-2</v>
      </c>
      <c r="AG40" s="11" t="s">
        <v>79</v>
      </c>
    </row>
    <row r="41" spans="1:33" x14ac:dyDescent="0.2">
      <c r="A41" s="8">
        <v>8391</v>
      </c>
      <c r="B41" s="9" t="s">
        <v>148</v>
      </c>
      <c r="C41" s="10">
        <v>43469</v>
      </c>
      <c r="D41" s="11">
        <v>150</v>
      </c>
      <c r="E41" s="12" t="s">
        <v>34</v>
      </c>
      <c r="F41" s="12" t="s">
        <v>35</v>
      </c>
      <c r="G41" s="12" t="s">
        <v>36</v>
      </c>
      <c r="H41" s="12" t="s">
        <v>36</v>
      </c>
      <c r="I41" s="11" t="s">
        <v>80</v>
      </c>
      <c r="J41" s="12" t="s">
        <v>81</v>
      </c>
      <c r="K41" s="13" t="s">
        <v>129</v>
      </c>
      <c r="L41" s="11" t="str">
        <f>"000002"</f>
        <v>000002</v>
      </c>
      <c r="M41" s="10">
        <v>43124</v>
      </c>
      <c r="N41" s="11" t="str">
        <f>"000029"</f>
        <v>000029</v>
      </c>
      <c r="O41" s="10">
        <v>43501</v>
      </c>
      <c r="P41" s="11" t="str">
        <f>"000281"</f>
        <v>000281</v>
      </c>
      <c r="Q41" s="10">
        <v>43501</v>
      </c>
      <c r="R41" s="11"/>
      <c r="S41" s="11" t="str">
        <f>""</f>
        <v/>
      </c>
      <c r="T41" s="10"/>
      <c r="U41" s="14">
        <v>40.22</v>
      </c>
      <c r="V41" s="14">
        <v>1.93222</v>
      </c>
      <c r="W41" s="14">
        <v>38.287779999999998</v>
      </c>
      <c r="X41" s="11">
        <v>314</v>
      </c>
      <c r="Y41" s="10">
        <v>43469</v>
      </c>
      <c r="Z41" s="11">
        <v>9449680044</v>
      </c>
      <c r="AA41" s="12" t="s">
        <v>82</v>
      </c>
      <c r="AB41" s="11" t="s">
        <v>54</v>
      </c>
      <c r="AC41" s="12" t="s">
        <v>55</v>
      </c>
      <c r="AD41" s="11" t="s">
        <v>83</v>
      </c>
      <c r="AE41" s="12" t="s">
        <v>84</v>
      </c>
      <c r="AF41" s="14">
        <f t="shared" si="0"/>
        <v>0.4022</v>
      </c>
      <c r="AG41" s="11" t="s">
        <v>79</v>
      </c>
    </row>
    <row r="42" spans="1:33" x14ac:dyDescent="0.2">
      <c r="A42" s="8">
        <v>8478</v>
      </c>
      <c r="B42" s="9" t="s">
        <v>148</v>
      </c>
      <c r="C42" s="10">
        <v>43472</v>
      </c>
      <c r="D42" s="11">
        <v>150</v>
      </c>
      <c r="E42" s="12" t="s">
        <v>34</v>
      </c>
      <c r="F42" s="12" t="s">
        <v>35</v>
      </c>
      <c r="G42" s="12" t="s">
        <v>36</v>
      </c>
      <c r="H42" s="12" t="s">
        <v>36</v>
      </c>
      <c r="I42" s="11" t="s">
        <v>131</v>
      </c>
      <c r="J42" s="12" t="s">
        <v>132</v>
      </c>
      <c r="K42" s="13" t="s">
        <v>129</v>
      </c>
      <c r="L42" s="11" t="str">
        <f>"000006"</f>
        <v>000006</v>
      </c>
      <c r="M42" s="10">
        <v>43133</v>
      </c>
      <c r="N42" s="11" t="str">
        <f>"000027"</f>
        <v>000027</v>
      </c>
      <c r="O42" s="10">
        <v>43496</v>
      </c>
      <c r="P42" s="11" t="str">
        <f>"000275"</f>
        <v>000275</v>
      </c>
      <c r="Q42" s="10">
        <v>43496</v>
      </c>
      <c r="R42" s="11"/>
      <c r="S42" s="11" t="str">
        <f>""</f>
        <v/>
      </c>
      <c r="T42" s="10"/>
      <c r="U42" s="14">
        <v>26.7</v>
      </c>
      <c r="V42" s="14">
        <v>1.6464000000000001</v>
      </c>
      <c r="W42" s="14">
        <v>25.053599999999999</v>
      </c>
      <c r="X42" s="11">
        <v>317</v>
      </c>
      <c r="Y42" s="10">
        <v>43472</v>
      </c>
      <c r="Z42" s="11">
        <v>9448086360</v>
      </c>
      <c r="AA42" s="12" t="s">
        <v>133</v>
      </c>
      <c r="AB42" s="11" t="s">
        <v>54</v>
      </c>
      <c r="AC42" s="12" t="s">
        <v>55</v>
      </c>
      <c r="AD42" s="11" t="s">
        <v>83</v>
      </c>
      <c r="AE42" s="12" t="s">
        <v>84</v>
      </c>
      <c r="AF42" s="14">
        <f t="shared" si="0"/>
        <v>0.26700000000000002</v>
      </c>
      <c r="AG42" s="11" t="s">
        <v>79</v>
      </c>
    </row>
    <row r="43" spans="1:33" x14ac:dyDescent="0.2">
      <c r="A43" s="8">
        <v>8939</v>
      </c>
      <c r="B43" s="9" t="s">
        <v>155</v>
      </c>
      <c r="C43" s="10">
        <v>43500</v>
      </c>
      <c r="D43" s="11">
        <v>150</v>
      </c>
      <c r="E43" s="12" t="s">
        <v>34</v>
      </c>
      <c r="F43" s="12" t="s">
        <v>35</v>
      </c>
      <c r="G43" s="12" t="s">
        <v>36</v>
      </c>
      <c r="H43" s="12" t="s">
        <v>36</v>
      </c>
      <c r="I43" s="11" t="s">
        <v>156</v>
      </c>
      <c r="J43" s="12" t="s">
        <v>157</v>
      </c>
      <c r="K43" s="13" t="s">
        <v>158</v>
      </c>
      <c r="L43" s="11" t="str">
        <f>"000035"</f>
        <v>000035</v>
      </c>
      <c r="M43" s="10">
        <v>43447</v>
      </c>
      <c r="N43" s="11" t="str">
        <f>"000089"</f>
        <v>000089</v>
      </c>
      <c r="O43" s="10">
        <v>43447</v>
      </c>
      <c r="P43" s="11" t="str">
        <f>"000090"</f>
        <v>000090</v>
      </c>
      <c r="Q43" s="10">
        <v>43447</v>
      </c>
      <c r="R43" s="11"/>
      <c r="S43" s="11" t="str">
        <f>"008738"</f>
        <v>008738</v>
      </c>
      <c r="T43" s="10">
        <v>43482</v>
      </c>
      <c r="U43" s="14">
        <v>0.88275999999999999</v>
      </c>
      <c r="V43" s="14">
        <v>8.9429999999999996E-2</v>
      </c>
      <c r="W43" s="14">
        <v>0.79332999999999998</v>
      </c>
      <c r="X43" s="11">
        <v>338</v>
      </c>
      <c r="Y43" s="10">
        <v>43500</v>
      </c>
      <c r="Z43" s="11">
        <v>9342541594</v>
      </c>
      <c r="AA43" s="12" t="s">
        <v>159</v>
      </c>
      <c r="AB43" s="11" t="s">
        <v>54</v>
      </c>
      <c r="AC43" s="12" t="s">
        <v>55</v>
      </c>
      <c r="AD43" s="11" t="s">
        <v>109</v>
      </c>
      <c r="AE43" s="12" t="s">
        <v>110</v>
      </c>
      <c r="AF43" s="14">
        <f t="shared" si="0"/>
        <v>8.8275999999999997E-3</v>
      </c>
      <c r="AG43" s="11" t="s">
        <v>56</v>
      </c>
    </row>
    <row r="44" spans="1:33" x14ac:dyDescent="0.2">
      <c r="A44" s="8">
        <v>8943</v>
      </c>
      <c r="B44" s="9" t="s">
        <v>155</v>
      </c>
      <c r="C44" s="10">
        <v>43500</v>
      </c>
      <c r="D44" s="11">
        <v>150</v>
      </c>
      <c r="E44" s="12" t="s">
        <v>34</v>
      </c>
      <c r="F44" s="12" t="s">
        <v>35</v>
      </c>
      <c r="G44" s="12" t="s">
        <v>36</v>
      </c>
      <c r="H44" s="12" t="s">
        <v>36</v>
      </c>
      <c r="I44" s="11" t="s">
        <v>160</v>
      </c>
      <c r="J44" s="12" t="s">
        <v>161</v>
      </c>
      <c r="K44" s="13" t="s">
        <v>158</v>
      </c>
      <c r="L44" s="11" t="str">
        <f>"000046"</f>
        <v>000046</v>
      </c>
      <c r="M44" s="10">
        <v>43449</v>
      </c>
      <c r="N44" s="11" t="str">
        <f>"000102"</f>
        <v>000102</v>
      </c>
      <c r="O44" s="10">
        <v>43449</v>
      </c>
      <c r="P44" s="11" t="str">
        <f>"000103"</f>
        <v>000103</v>
      </c>
      <c r="Q44" s="10">
        <v>43449</v>
      </c>
      <c r="R44" s="11"/>
      <c r="S44" s="11" t="str">
        <f>"008742"</f>
        <v>008742</v>
      </c>
      <c r="T44" s="10">
        <v>43482</v>
      </c>
      <c r="U44" s="14">
        <v>0.85699999999999998</v>
      </c>
      <c r="V44" s="14">
        <v>8.6819999999999994E-2</v>
      </c>
      <c r="W44" s="14">
        <v>0.77017999999999998</v>
      </c>
      <c r="X44" s="11">
        <v>338</v>
      </c>
      <c r="Y44" s="10">
        <v>43500</v>
      </c>
      <c r="Z44" s="11">
        <v>9342541594</v>
      </c>
      <c r="AA44" s="12" t="s">
        <v>159</v>
      </c>
      <c r="AB44" s="11" t="s">
        <v>54</v>
      </c>
      <c r="AC44" s="12" t="s">
        <v>55</v>
      </c>
      <c r="AD44" s="11" t="s">
        <v>109</v>
      </c>
      <c r="AE44" s="12" t="s">
        <v>110</v>
      </c>
      <c r="AF44" s="14">
        <f t="shared" si="0"/>
        <v>8.5699999999999995E-3</v>
      </c>
      <c r="AG44" s="11" t="s">
        <v>56</v>
      </c>
    </row>
    <row r="45" spans="1:33" x14ac:dyDescent="0.2">
      <c r="A45" s="8">
        <v>9085</v>
      </c>
      <c r="B45" s="9" t="s">
        <v>155</v>
      </c>
      <c r="C45" s="10">
        <v>43507</v>
      </c>
      <c r="D45" s="11">
        <v>150</v>
      </c>
      <c r="E45" s="12" t="s">
        <v>34</v>
      </c>
      <c r="F45" s="12" t="s">
        <v>35</v>
      </c>
      <c r="G45" s="12" t="s">
        <v>36</v>
      </c>
      <c r="H45" s="12" t="s">
        <v>36</v>
      </c>
      <c r="I45" s="11" t="s">
        <v>162</v>
      </c>
      <c r="J45" s="12" t="s">
        <v>163</v>
      </c>
      <c r="K45" s="13" t="s">
        <v>67</v>
      </c>
      <c r="L45" s="11" t="str">
        <f>"000379"</f>
        <v>000379</v>
      </c>
      <c r="M45" s="10">
        <v>42825</v>
      </c>
      <c r="N45" s="11" t="str">
        <f>"000031"</f>
        <v>000031</v>
      </c>
      <c r="O45" s="10">
        <v>43061</v>
      </c>
      <c r="P45" s="11" t="str">
        <f>"000130"</f>
        <v>000130</v>
      </c>
      <c r="Q45" s="10">
        <v>43061</v>
      </c>
      <c r="R45" s="11"/>
      <c r="S45" s="11" t="str">
        <f>"008993"</f>
        <v>008993</v>
      </c>
      <c r="T45" s="10">
        <v>43490</v>
      </c>
      <c r="U45" s="14">
        <v>9.4305500000000002</v>
      </c>
      <c r="V45" s="14">
        <v>0.89705000000000001</v>
      </c>
      <c r="W45" s="14">
        <v>8.5335000000000001</v>
      </c>
      <c r="X45" s="11">
        <v>347</v>
      </c>
      <c r="Y45" s="10">
        <v>43507</v>
      </c>
      <c r="Z45" s="11">
        <v>9845470283</v>
      </c>
      <c r="AA45" s="12" t="s">
        <v>164</v>
      </c>
      <c r="AB45" s="11" t="s">
        <v>41</v>
      </c>
      <c r="AC45" s="12" t="s">
        <v>42</v>
      </c>
      <c r="AD45" s="11" t="s">
        <v>43</v>
      </c>
      <c r="AE45" s="12" t="s">
        <v>44</v>
      </c>
      <c r="AF45" s="14">
        <f t="shared" si="0"/>
        <v>9.43055E-2</v>
      </c>
      <c r="AG45" s="11" t="s">
        <v>45</v>
      </c>
    </row>
    <row r="46" spans="1:33" x14ac:dyDescent="0.2">
      <c r="A46" s="8">
        <v>9086</v>
      </c>
      <c r="B46" s="9" t="s">
        <v>155</v>
      </c>
      <c r="C46" s="10">
        <v>43507</v>
      </c>
      <c r="D46" s="11">
        <v>150</v>
      </c>
      <c r="E46" s="12" t="s">
        <v>34</v>
      </c>
      <c r="F46" s="12" t="s">
        <v>35</v>
      </c>
      <c r="G46" s="12" t="s">
        <v>36</v>
      </c>
      <c r="H46" s="12" t="s">
        <v>36</v>
      </c>
      <c r="I46" s="11" t="s">
        <v>165</v>
      </c>
      <c r="J46" s="12" t="s">
        <v>166</v>
      </c>
      <c r="K46" s="13" t="s">
        <v>67</v>
      </c>
      <c r="L46" s="11" t="str">
        <f>"000105"</f>
        <v>000105</v>
      </c>
      <c r="M46" s="10">
        <v>42865</v>
      </c>
      <c r="N46" s="11" t="str">
        <f>"000032"</f>
        <v>000032</v>
      </c>
      <c r="O46" s="10">
        <v>43061</v>
      </c>
      <c r="P46" s="11" t="str">
        <f>"000131"</f>
        <v>000131</v>
      </c>
      <c r="Q46" s="10">
        <v>43061</v>
      </c>
      <c r="R46" s="11"/>
      <c r="S46" s="11" t="str">
        <f>"008995"</f>
        <v>008995</v>
      </c>
      <c r="T46" s="10">
        <v>43490</v>
      </c>
      <c r="U46" s="14">
        <v>9.4159299999999995</v>
      </c>
      <c r="V46" s="14">
        <v>0.89571999999999996</v>
      </c>
      <c r="W46" s="14">
        <v>8.5202100000000005</v>
      </c>
      <c r="X46" s="11">
        <v>347</v>
      </c>
      <c r="Y46" s="10">
        <v>43507</v>
      </c>
      <c r="Z46" s="11">
        <v>9845470283</v>
      </c>
      <c r="AA46" s="12" t="s">
        <v>167</v>
      </c>
      <c r="AB46" s="11" t="s">
        <v>41</v>
      </c>
      <c r="AC46" s="12" t="s">
        <v>42</v>
      </c>
      <c r="AD46" s="11" t="s">
        <v>43</v>
      </c>
      <c r="AE46" s="12" t="s">
        <v>44</v>
      </c>
      <c r="AF46" s="14">
        <f t="shared" si="0"/>
        <v>9.4159300000000001E-2</v>
      </c>
      <c r="AG46" s="11" t="s">
        <v>45</v>
      </c>
    </row>
    <row r="47" spans="1:33" x14ac:dyDescent="0.2">
      <c r="A47" s="8">
        <v>9448</v>
      </c>
      <c r="B47" s="9" t="s">
        <v>168</v>
      </c>
      <c r="C47" s="10">
        <v>43526</v>
      </c>
      <c r="D47" s="11">
        <v>150</v>
      </c>
      <c r="E47" s="12" t="s">
        <v>34</v>
      </c>
      <c r="F47" s="12" t="s">
        <v>35</v>
      </c>
      <c r="G47" s="12" t="s">
        <v>36</v>
      </c>
      <c r="H47" s="12" t="s">
        <v>36</v>
      </c>
      <c r="I47" s="11" t="s">
        <v>169</v>
      </c>
      <c r="J47" s="12" t="s">
        <v>170</v>
      </c>
      <c r="K47" s="13" t="s">
        <v>158</v>
      </c>
      <c r="L47" s="11" t="str">
        <f>"000220"</f>
        <v>000220</v>
      </c>
      <c r="M47" s="10">
        <v>43482</v>
      </c>
      <c r="N47" s="11" t="str">
        <f>"000038"</f>
        <v>000038</v>
      </c>
      <c r="O47" s="10">
        <v>43482</v>
      </c>
      <c r="P47" s="11" t="str">
        <f>"000232"</f>
        <v>000232</v>
      </c>
      <c r="Q47" s="10">
        <v>43482</v>
      </c>
      <c r="R47" s="11"/>
      <c r="S47" s="11" t="str">
        <f>"009465"</f>
        <v>009465</v>
      </c>
      <c r="T47" s="10">
        <v>43519</v>
      </c>
      <c r="U47" s="14">
        <v>30.370950000000001</v>
      </c>
      <c r="V47" s="14">
        <v>3.5496300000000001</v>
      </c>
      <c r="W47" s="14">
        <v>26.82132</v>
      </c>
      <c r="X47" s="11">
        <v>364</v>
      </c>
      <c r="Y47" s="10">
        <v>43526</v>
      </c>
      <c r="Z47" s="11">
        <v>9480828222</v>
      </c>
      <c r="AA47" s="12" t="s">
        <v>171</v>
      </c>
      <c r="AB47" s="11" t="s">
        <v>54</v>
      </c>
      <c r="AC47" s="12" t="s">
        <v>55</v>
      </c>
      <c r="AD47" s="11" t="s">
        <v>43</v>
      </c>
      <c r="AE47" s="12" t="s">
        <v>44</v>
      </c>
      <c r="AF47" s="14">
        <f t="shared" si="0"/>
        <v>0.30370950000000002</v>
      </c>
      <c r="AG47" s="11" t="s">
        <v>56</v>
      </c>
    </row>
    <row r="48" spans="1:33" x14ac:dyDescent="0.2">
      <c r="A48" s="8">
        <v>9477</v>
      </c>
      <c r="B48" s="9" t="s">
        <v>168</v>
      </c>
      <c r="C48" s="10">
        <v>43530</v>
      </c>
      <c r="D48" s="11">
        <v>150</v>
      </c>
      <c r="E48" s="12" t="s">
        <v>34</v>
      </c>
      <c r="F48" s="12" t="s">
        <v>35</v>
      </c>
      <c r="G48" s="12" t="s">
        <v>36</v>
      </c>
      <c r="H48" s="12" t="s">
        <v>36</v>
      </c>
      <c r="I48" s="11" t="s">
        <v>172</v>
      </c>
      <c r="J48" s="12" t="s">
        <v>173</v>
      </c>
      <c r="K48" s="13" t="s">
        <v>67</v>
      </c>
      <c r="L48" s="11" t="str">
        <f>"000217"</f>
        <v>000217</v>
      </c>
      <c r="M48" s="10">
        <v>43481</v>
      </c>
      <c r="N48" s="11" t="str">
        <f>"000036"</f>
        <v>000036</v>
      </c>
      <c r="O48" s="10">
        <v>43481</v>
      </c>
      <c r="P48" s="11" t="str">
        <f>"000230"</f>
        <v>000230</v>
      </c>
      <c r="Q48" s="10">
        <v>43481</v>
      </c>
      <c r="R48" s="11"/>
      <c r="S48" s="11" t="str">
        <f>"009511"</f>
        <v>009511</v>
      </c>
      <c r="T48" s="10">
        <v>43525</v>
      </c>
      <c r="U48" s="14">
        <v>11.27261</v>
      </c>
      <c r="V48" s="14">
        <v>1.04833</v>
      </c>
      <c r="W48" s="14">
        <v>10.22428</v>
      </c>
      <c r="X48" s="11">
        <v>368</v>
      </c>
      <c r="Y48" s="10">
        <v>43530</v>
      </c>
      <c r="Z48" s="11">
        <v>9480828222</v>
      </c>
      <c r="AA48" s="12" t="s">
        <v>174</v>
      </c>
      <c r="AB48" s="11" t="s">
        <v>175</v>
      </c>
      <c r="AC48" s="12" t="s">
        <v>176</v>
      </c>
      <c r="AD48" s="11" t="s">
        <v>43</v>
      </c>
      <c r="AE48" s="12" t="s">
        <v>44</v>
      </c>
      <c r="AF48" s="14">
        <f t="shared" si="0"/>
        <v>0.1127261</v>
      </c>
      <c r="AG48" s="11" t="s">
        <v>56</v>
      </c>
    </row>
    <row r="49" spans="1:33" x14ac:dyDescent="0.2">
      <c r="A49" s="8">
        <v>10046</v>
      </c>
      <c r="B49" s="9" t="s">
        <v>168</v>
      </c>
      <c r="C49" s="10">
        <v>43552</v>
      </c>
      <c r="D49" s="11">
        <v>150</v>
      </c>
      <c r="E49" s="12" t="s">
        <v>34</v>
      </c>
      <c r="F49" s="12" t="s">
        <v>35</v>
      </c>
      <c r="G49" s="12" t="s">
        <v>36</v>
      </c>
      <c r="H49" s="12" t="s">
        <v>36</v>
      </c>
      <c r="I49" s="11" t="s">
        <v>177</v>
      </c>
      <c r="J49" s="12" t="s">
        <v>178</v>
      </c>
      <c r="K49" s="13" t="s">
        <v>67</v>
      </c>
      <c r="L49" s="11" t="str">
        <f>"000097"</f>
        <v>000097</v>
      </c>
      <c r="M49" s="10">
        <v>42857</v>
      </c>
      <c r="N49" s="11" t="str">
        <f>"000036"</f>
        <v>000036</v>
      </c>
      <c r="O49" s="10">
        <v>42914</v>
      </c>
      <c r="P49" s="11" t="str">
        <f>"000197"</f>
        <v>000197</v>
      </c>
      <c r="Q49" s="10">
        <v>42916</v>
      </c>
      <c r="R49" s="11"/>
      <c r="S49" s="11" t="str">
        <f>"010108"</f>
        <v>010108</v>
      </c>
      <c r="T49" s="10">
        <v>43552</v>
      </c>
      <c r="U49" s="14">
        <v>19.734760000000001</v>
      </c>
      <c r="V49" s="14">
        <v>2.415</v>
      </c>
      <c r="W49" s="14">
        <v>17.319759999999999</v>
      </c>
      <c r="X49" s="11">
        <v>390</v>
      </c>
      <c r="Y49" s="10">
        <v>43552</v>
      </c>
      <c r="Z49" s="11">
        <v>9481544777</v>
      </c>
      <c r="AA49" s="12" t="s">
        <v>179</v>
      </c>
      <c r="AB49" s="11" t="s">
        <v>41</v>
      </c>
      <c r="AC49" s="12" t="s">
        <v>42</v>
      </c>
      <c r="AD49" s="11" t="s">
        <v>43</v>
      </c>
      <c r="AE49" s="12" t="s">
        <v>44</v>
      </c>
      <c r="AF49" s="14">
        <f t="shared" si="0"/>
        <v>0.19734760000000001</v>
      </c>
      <c r="AG49" s="11" t="s">
        <v>45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2019-06-13T11:57:51Z</dcterms:modified>
</cp:coreProperties>
</file>