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6" i="1" l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<sst xmlns="http://schemas.openxmlformats.org/spreadsheetml/2006/main" count="523" uniqueCount="170">
  <si>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</si>
  <si>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</si>
  <si>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</si>
  <si>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</si>
  <si>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</si>
  <si>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</si>
  <si>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</si>
  <si>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</si>
  <si>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</si>
  <si>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</si>
  <si>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</si>
  <si>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</si>
  <si>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</si>
  <si>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</si>
  <si>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</si>
  <si>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</si>
  <si>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</si>
  <si>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</si>
  <si>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</si>
  <si>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</si>
  <si>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</si>
  <si>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</si>
  <si>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</si>
  <si>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</si>
  <si>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</si>
  <si>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</si>
  <si>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</si>
  <si>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</si>
  <si>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</si>
  <si>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</si>
  <si>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</si>
  <si>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</si>
  <si>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</si>
  <si>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</si>
  <si>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Jaya Nagara</t>
  </si>
  <si>
    <t>Hombegowda Nagara</t>
  </si>
  <si>
    <t>Chikka Pete</t>
  </si>
  <si>
    <t>South</t>
  </si>
  <si>
    <t>153-11-000058</t>
  </si>
  <si>
    <t>Construction of Ambedkar Bhavan in Gulbarga colony in ward No.153</t>
  </si>
  <si>
    <t>Other Ward Works</t>
  </si>
  <si>
    <t>Dasaratharamireddy.K</t>
  </si>
  <si>
    <t>P1878</t>
  </si>
  <si>
    <t>18per - Works (Bhagyajyothi, Sooru / Neeru Yojane and General) (54 Lakhs / New Wards)</t>
  </si>
  <si>
    <t>ddo425</t>
  </si>
  <si>
    <t xml:space="preserve"> Assistant Executive Engineer Hombegowda Nagar South Zone</t>
  </si>
  <si>
    <t>Spill Over</t>
  </si>
  <si>
    <t>153-17-000012</t>
  </si>
  <si>
    <t>Improvements to drain and Footpath from Ashoka pillar to Dead end in ward no 153</t>
  </si>
  <si>
    <t>Footpaths &amp; Walkability</t>
  </si>
  <si>
    <t>J Sunil</t>
  </si>
  <si>
    <t>P3111</t>
  </si>
  <si>
    <t>State Finance Commission Untied Grant Works</t>
  </si>
  <si>
    <t>Pending</t>
  </si>
  <si>
    <t>153-18-000003</t>
  </si>
  <si>
    <t>Providing Garden Lights Around Jogging Track and Flood lights to Basket Ball Court in Krishnarao park in ward no 153</t>
  </si>
  <si>
    <t>Trees, Parks &amp; Playgrounds</t>
  </si>
  <si>
    <t>Executive Engineer (Karnataka Rurual Infrastructure Development Ltd)</t>
  </si>
  <si>
    <t>ddo258</t>
  </si>
  <si>
    <t xml:space="preserve"> Executive Engineer Electrical South Zone</t>
  </si>
  <si>
    <t>May</t>
  </si>
  <si>
    <t>153-14-000002</t>
  </si>
  <si>
    <t xml:space="preserve">Emergency Works </t>
  </si>
  <si>
    <t>Afzal Pasha</t>
  </si>
  <si>
    <t>P1771</t>
  </si>
  <si>
    <t>Zone Works - POW Works</t>
  </si>
  <si>
    <t>153-14-000016</t>
  </si>
  <si>
    <t xml:space="preserve">Providing tiles, granite flooring grill to Someshwaranagara in ward no - 153 </t>
  </si>
  <si>
    <t>B.N Janardhan</t>
  </si>
  <si>
    <t>P2434</t>
  </si>
  <si>
    <t>Development works for Bangalore City</t>
  </si>
  <si>
    <t>June</t>
  </si>
  <si>
    <t>153-16-000005</t>
  </si>
  <si>
    <t>Emergency works in Ward No.153</t>
  </si>
  <si>
    <t>V.Vijay</t>
  </si>
  <si>
    <t>153-17-000015</t>
  </si>
  <si>
    <t>Improvements to C C Road at Gulbarga colony and surrounding roads in ward no 153</t>
  </si>
  <si>
    <t xml:space="preserve">Dasaratharamireddy.K </t>
  </si>
  <si>
    <t>153-16-000010</t>
  </si>
  <si>
    <t>Providing RCC drain to cross roads of Krishnappa garden in ward No 153</t>
  </si>
  <si>
    <t>Sampanna satish</t>
  </si>
  <si>
    <t>July</t>
  </si>
  <si>
    <t>153-17-000055</t>
  </si>
  <si>
    <t>Providing Water supply and other works at Ward No. 153</t>
  </si>
  <si>
    <t>Water &amp; Sanitary</t>
  </si>
  <si>
    <t>SAMPANNA SATHISH</t>
  </si>
  <si>
    <t>P3110</t>
  </si>
  <si>
    <t>14th Finance Commission Grant Works</t>
  </si>
  <si>
    <t>153-16-000002</t>
  </si>
  <si>
    <t>Operation and Maintenance of Street Lighting System in Ward No.153 Package S-23 of South Zone</t>
  </si>
  <si>
    <t>M/s. Eshwari Electricals (Raj Kumar)</t>
  </si>
  <si>
    <t>P0300</t>
  </si>
  <si>
    <t>M and R to Street Lights - Replacement of Burnt Bulbs etc. (Package)</t>
  </si>
  <si>
    <t>153-17-000089</t>
  </si>
  <si>
    <t>Drilling Borewells and providing water supply connections to Water scarcity area in ward no 153</t>
  </si>
  <si>
    <t>KRIDL</t>
  </si>
  <si>
    <t>P1802</t>
  </si>
  <si>
    <t>Water Supply New Areas</t>
  </si>
  <si>
    <t>153-18-000015</t>
  </si>
  <si>
    <t>Improvements to drain footpath and culverts at 8th main tilak nagar in ward no 153</t>
  </si>
  <si>
    <t>TECHNICAL MANAGER-3</t>
  </si>
  <si>
    <t>153-17-000013</t>
  </si>
  <si>
    <t>Improvements to drain and C C road at 4th cross RBI Colony in ward no 153</t>
  </si>
  <si>
    <t>Hiteshkumar S</t>
  </si>
  <si>
    <t>153-18-000012</t>
  </si>
  <si>
    <t>Improvements to drains and culverts in RBI colony 2nd main road in ward no 153</t>
  </si>
  <si>
    <t>August</t>
  </si>
  <si>
    <t>153-17-000032</t>
  </si>
  <si>
    <t>Annual Electrical Maintenance contract of 2nd Block BBMP Office Complex at Jayanagar 2nd Block in ward 153</t>
  </si>
  <si>
    <t>Health &amp; Sanitation</t>
  </si>
  <si>
    <t>M/S BK Associates</t>
  </si>
  <si>
    <t>P0294</t>
  </si>
  <si>
    <t>M and R to Electrical Inst in BMP Buildings, Schools, M.Homes, Community Halls, Markets and Others</t>
  </si>
  <si>
    <t>153-17-000021</t>
  </si>
  <si>
    <t>Filling of Pot Holes in ward No: 153</t>
  </si>
  <si>
    <t>Roads &amp; Drivablility</t>
  </si>
  <si>
    <t>R Kumaraswamy</t>
  </si>
  <si>
    <t>September</t>
  </si>
  <si>
    <t>153-15-000005</t>
  </si>
  <si>
    <t>BBMP Building maintainance in Ward No.153</t>
  </si>
  <si>
    <t>Raman velayudham</t>
  </si>
  <si>
    <t>153-15-000001</t>
  </si>
  <si>
    <t>Ward maintainance in Ward No.153</t>
  </si>
  <si>
    <t>153-16-000009</t>
  </si>
  <si>
    <t>Providing RCC drain to 3rd Krishnappa garden in ward No 153</t>
  </si>
  <si>
    <t>October</t>
  </si>
  <si>
    <t>153-17-000030</t>
  </si>
  <si>
    <t>Asphalting to Madhavan Park Road and Mountain road Jayanagar 1st block in ward No: 153</t>
  </si>
  <si>
    <t>Hitesh kumar S</t>
  </si>
  <si>
    <t>153-14-000004</t>
  </si>
  <si>
    <t xml:space="preserve">Depot Collection </t>
  </si>
  <si>
    <t>Javeed Pasha</t>
  </si>
  <si>
    <t>153-18-000002</t>
  </si>
  <si>
    <t>Maintenance and repairs of borewell in surounding area in ward no 153</t>
  </si>
  <si>
    <t>Afzal pasha</t>
  </si>
  <si>
    <t>November</t>
  </si>
  <si>
    <t>153-17-000014</t>
  </si>
  <si>
    <t>Improvements to drain and C C road at KHB colony and surrounding roads in ward no 153</t>
  </si>
  <si>
    <t>153-18-000013</t>
  </si>
  <si>
    <t>Asphalting to roads in Someshwaranagara in ward no 153</t>
  </si>
  <si>
    <t>153-18-000014</t>
  </si>
  <si>
    <t>Improvements to roads and drainsat 10th F main road in Jayanagara 1st block in ward no 153</t>
  </si>
  <si>
    <t>153-18-000016</t>
  </si>
  <si>
    <t>Providing and fixing of granite benches in ward jurisdiction in ward no 153</t>
  </si>
  <si>
    <t>TECHNICALMANAGER-3</t>
  </si>
  <si>
    <t>153-17-000058</t>
  </si>
  <si>
    <t>Engagement of Gangman and Hiring of Tractor Tippers for cleaning and Maintenance of road side drains and other cleaning works in works in ward no 153</t>
  </si>
  <si>
    <t>153-17-000056</t>
  </si>
  <si>
    <t>Providing CC Camera at Garbage Block Spots in ward no 153</t>
  </si>
  <si>
    <t>Crime &amp; Safety</t>
  </si>
  <si>
    <t>Shreedevi Enterprises Prop M Gunashekar</t>
  </si>
  <si>
    <t>Current</t>
  </si>
  <si>
    <t>153-17-000057</t>
  </si>
  <si>
    <t>Providing Modren Dust Bin in Bangalore City in ward no 153</t>
  </si>
  <si>
    <t>NAVEENKUMAR A</t>
  </si>
  <si>
    <t>153-17-000053</t>
  </si>
  <si>
    <t>Development of roads and drains in ward no 153 Jaynagar</t>
  </si>
  <si>
    <t>S Sathish</t>
  </si>
  <si>
    <t>January</t>
  </si>
  <si>
    <t>153-18-000011</t>
  </si>
  <si>
    <t>Improvements to balance works at Kalyani in Someshwaranagara in ward no 153</t>
  </si>
  <si>
    <t xml:space="preserve">B N JANARDHAN </t>
  </si>
  <si>
    <t>February</t>
  </si>
  <si>
    <t>153-17-000052</t>
  </si>
  <si>
    <t>Development of Roads and Drains in Ward No 153 Jaynagar</t>
  </si>
  <si>
    <t>153-18-000021</t>
  </si>
  <si>
    <t>Providing street lights and maintenance in ward no 153</t>
  </si>
  <si>
    <t>Executive Engineer-3, KRIDL</t>
  </si>
  <si>
    <t>P3290</t>
  </si>
  <si>
    <t>14th Finance Commission Works - Providing Street Lights and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</si>
</sst>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pane ySplit="1" topLeftCell="A2" activePane="bottomLeft" state="frozen"/>
      <selection activeCell="H1" sqref="H1"/>
      <selection pane="bottomLeft" activeCell="A2" sqref="A2:XFD3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749</v>
      </c>
      <c r="B2" s="9" t="s">
        <v>33</v>
      </c>
      <c r="C2" s="10">
        <v>43216</v>
      </c>
      <c r="D2" s="11">
        <v>153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"000056"</f>
        <v>000056</v>
      </c>
      <c r="M2" s="10">
        <v>42950</v>
      </c>
      <c r="N2" s="11" t="str">
        <f>"000045"</f>
        <v>000045</v>
      </c>
      <c r="O2" s="10">
        <v>43176</v>
      </c>
      <c r="P2" s="11" t="str">
        <f>"000007"</f>
        <v>000007</v>
      </c>
      <c r="Q2" s="10">
        <v>43246</v>
      </c>
      <c r="R2" s="11">
        <v>11</v>
      </c>
      <c r="S2" s="11" t="str">
        <f>"002652"</f>
        <v>002652</v>
      </c>
      <c r="T2" s="10">
        <v>43269</v>
      </c>
      <c r="U2" s="14">
        <v>20.542000000000002</v>
      </c>
      <c r="V2" s="14">
        <v>1.4817</v>
      </c>
      <c r="W2" s="14">
        <v>19.060300000000002</v>
      </c>
      <c r="X2" s="11">
        <v>25</v>
      </c>
      <c r="Y2" s="10">
        <v>43216</v>
      </c>
      <c r="Z2" s="11">
        <v>9036090277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0.20542000000000002</v>
      </c>
      <c r="AG2" s="11" t="s">
        <v>46</v>
      </c>
    </row>
    <row r="3" spans="1:33" x14ac:dyDescent="0.2">
      <c r="A3" s="8">
        <v>750</v>
      </c>
      <c r="B3" s="9" t="s">
        <v>33</v>
      </c>
      <c r="C3" s="10">
        <v>43216</v>
      </c>
      <c r="D3" s="11">
        <v>153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49</v>
      </c>
      <c r="L3" s="11" t="str">
        <f>"000118"</f>
        <v>000118</v>
      </c>
      <c r="M3" s="10">
        <v>43109</v>
      </c>
      <c r="N3" s="11" t="str">
        <f>"000048"</f>
        <v>000048</v>
      </c>
      <c r="O3" s="10">
        <v>43185</v>
      </c>
      <c r="P3" s="11" t="str">
        <f>"000111"</f>
        <v>000111</v>
      </c>
      <c r="Q3" s="10">
        <v>43187</v>
      </c>
      <c r="R3" s="11">
        <v>17</v>
      </c>
      <c r="S3" s="11" t="str">
        <f>"000689"</f>
        <v>000689</v>
      </c>
      <c r="T3" s="10">
        <v>43215</v>
      </c>
      <c r="U3" s="14">
        <v>27.553999999999998</v>
      </c>
      <c r="V3" s="14">
        <v>0.97160000000000002</v>
      </c>
      <c r="W3" s="14">
        <v>26.5824</v>
      </c>
      <c r="X3" s="11">
        <v>27</v>
      </c>
      <c r="Y3" s="10">
        <v>43216</v>
      </c>
      <c r="Z3" s="11">
        <v>9845999123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0.27554000000000001</v>
      </c>
      <c r="AG3" s="11" t="s">
        <v>53</v>
      </c>
    </row>
    <row r="4" spans="1:33" x14ac:dyDescent="0.2">
      <c r="A4" s="8">
        <v>751</v>
      </c>
      <c r="B4" s="9" t="s">
        <v>33</v>
      </c>
      <c r="C4" s="10">
        <v>43216</v>
      </c>
      <c r="D4" s="11">
        <v>153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54</v>
      </c>
      <c r="J4" s="12" t="s">
        <v>55</v>
      </c>
      <c r="K4" s="13" t="s">
        <v>56</v>
      </c>
      <c r="L4" s="11" t="str">
        <f>"000170"</f>
        <v>000170</v>
      </c>
      <c r="M4" s="10">
        <v>43160</v>
      </c>
      <c r="N4" s="11" t="str">
        <f>"000001"</f>
        <v>000001</v>
      </c>
      <c r="O4" s="10">
        <v>43207</v>
      </c>
      <c r="P4" s="11" t="str">
        <f>"000001"</f>
        <v>000001</v>
      </c>
      <c r="Q4" s="10">
        <v>43207</v>
      </c>
      <c r="R4" s="11">
        <v>18</v>
      </c>
      <c r="S4" s="11" t="str">
        <f>"000704"</f>
        <v>000704</v>
      </c>
      <c r="T4" s="10">
        <v>43215</v>
      </c>
      <c r="U4" s="14">
        <v>49.696829999999999</v>
      </c>
      <c r="V4" s="14">
        <v>6.2618099999999997</v>
      </c>
      <c r="W4" s="14">
        <v>43.435020000000002</v>
      </c>
      <c r="X4" s="11">
        <v>27</v>
      </c>
      <c r="Y4" s="10">
        <v>43216</v>
      </c>
      <c r="Z4" s="11">
        <v>0</v>
      </c>
      <c r="AA4" s="12" t="s">
        <v>57</v>
      </c>
      <c r="AB4" s="11" t="s">
        <v>51</v>
      </c>
      <c r="AC4" s="12" t="s">
        <v>52</v>
      </c>
      <c r="AD4" s="11" t="s">
        <v>58</v>
      </c>
      <c r="AE4" s="12" t="s">
        <v>59</v>
      </c>
      <c r="AF4" s="14">
        <v>0.49696829999999997</v>
      </c>
      <c r="AG4" s="11" t="s">
        <v>46</v>
      </c>
    </row>
    <row r="5" spans="1:33" x14ac:dyDescent="0.2">
      <c r="A5" s="8">
        <v>1240</v>
      </c>
      <c r="B5" s="9" t="s">
        <v>60</v>
      </c>
      <c r="C5" s="10">
        <v>43238</v>
      </c>
      <c r="D5" s="11">
        <v>153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61</v>
      </c>
      <c r="J5" s="12" t="s">
        <v>62</v>
      </c>
      <c r="K5" s="13" t="s">
        <v>40</v>
      </c>
      <c r="L5" s="11" t="str">
        <f>"000160"</f>
        <v>000160</v>
      </c>
      <c r="M5" s="10">
        <v>42048</v>
      </c>
      <c r="N5" s="11" t="str">
        <f>"000077"</f>
        <v>000077</v>
      </c>
      <c r="O5" s="10">
        <v>42598</v>
      </c>
      <c r="P5" s="11" t="str">
        <f>"000164"</f>
        <v>000164</v>
      </c>
      <c r="Q5" s="10">
        <v>42613</v>
      </c>
      <c r="R5" s="11">
        <v>14</v>
      </c>
      <c r="S5" s="11" t="str">
        <f>"001464"</f>
        <v>001464</v>
      </c>
      <c r="T5" s="10">
        <v>43236</v>
      </c>
      <c r="U5" s="14">
        <v>17.155999999999999</v>
      </c>
      <c r="V5" s="14">
        <v>2.4647000000000001</v>
      </c>
      <c r="W5" s="14">
        <v>14.6913</v>
      </c>
      <c r="X5" s="11">
        <v>52</v>
      </c>
      <c r="Y5" s="10">
        <v>43238</v>
      </c>
      <c r="Z5" s="11">
        <v>9742855442</v>
      </c>
      <c r="AA5" s="12" t="s">
        <v>63</v>
      </c>
      <c r="AB5" s="11" t="s">
        <v>64</v>
      </c>
      <c r="AC5" s="12" t="s">
        <v>65</v>
      </c>
      <c r="AD5" s="11" t="s">
        <v>44</v>
      </c>
      <c r="AE5" s="12" t="s">
        <v>45</v>
      </c>
      <c r="AF5" s="14">
        <v>0.17155999999999999</v>
      </c>
      <c r="AG5" s="11" t="s">
        <v>53</v>
      </c>
    </row>
    <row r="6" spans="1:33" x14ac:dyDescent="0.2">
      <c r="A6" s="8">
        <v>1241</v>
      </c>
      <c r="B6" s="9" t="s">
        <v>60</v>
      </c>
      <c r="C6" s="10">
        <v>43238</v>
      </c>
      <c r="D6" s="11">
        <v>153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66</v>
      </c>
      <c r="J6" s="12" t="s">
        <v>67</v>
      </c>
      <c r="K6" s="13" t="s">
        <v>40</v>
      </c>
      <c r="L6" s="11" t="str">
        <f>"000042"</f>
        <v>000042</v>
      </c>
      <c r="M6" s="10">
        <v>41822</v>
      </c>
      <c r="N6" s="11" t="str">
        <f>"000086"</f>
        <v>000086</v>
      </c>
      <c r="O6" s="10">
        <v>42612</v>
      </c>
      <c r="P6" s="11" t="str">
        <f>"000179"</f>
        <v>000179</v>
      </c>
      <c r="Q6" s="10">
        <v>42613</v>
      </c>
      <c r="R6" s="11">
        <v>14</v>
      </c>
      <c r="S6" s="11" t="str">
        <f>"001469"</f>
        <v>001469</v>
      </c>
      <c r="T6" s="10">
        <v>43236</v>
      </c>
      <c r="U6" s="14">
        <v>23.928999999999998</v>
      </c>
      <c r="V6" s="14">
        <v>3.1030000000000002</v>
      </c>
      <c r="W6" s="14">
        <v>20.826000000000001</v>
      </c>
      <c r="X6" s="11">
        <v>52</v>
      </c>
      <c r="Y6" s="10">
        <v>43238</v>
      </c>
      <c r="Z6" s="11">
        <v>9448261216</v>
      </c>
      <c r="AA6" s="12" t="s">
        <v>68</v>
      </c>
      <c r="AB6" s="11" t="s">
        <v>69</v>
      </c>
      <c r="AC6" s="12" t="s">
        <v>70</v>
      </c>
      <c r="AD6" s="11" t="s">
        <v>44</v>
      </c>
      <c r="AE6" s="12" t="s">
        <v>45</v>
      </c>
      <c r="AF6" s="14">
        <v>0.23928999999999997</v>
      </c>
      <c r="AG6" s="11" t="s">
        <v>53</v>
      </c>
    </row>
    <row r="7" spans="1:33" x14ac:dyDescent="0.2">
      <c r="A7" s="8">
        <v>1684</v>
      </c>
      <c r="B7" s="9" t="s">
        <v>71</v>
      </c>
      <c r="C7" s="10">
        <v>43252</v>
      </c>
      <c r="D7" s="11">
        <v>153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72</v>
      </c>
      <c r="J7" s="12" t="s">
        <v>73</v>
      </c>
      <c r="K7" s="13" t="s">
        <v>40</v>
      </c>
      <c r="L7" s="11" t="str">
        <f>"000029"</f>
        <v>000029</v>
      </c>
      <c r="M7" s="10">
        <v>42600</v>
      </c>
      <c r="N7" s="11" t="str">
        <f>"000117"</f>
        <v>000117</v>
      </c>
      <c r="O7" s="10">
        <v>42703</v>
      </c>
      <c r="P7" s="11" t="str">
        <f>"000230"</f>
        <v>000230</v>
      </c>
      <c r="Q7" s="10">
        <v>42704</v>
      </c>
      <c r="R7" s="11">
        <v>16</v>
      </c>
      <c r="S7" s="11" t="str">
        <f>"001971"</f>
        <v>001971</v>
      </c>
      <c r="T7" s="10">
        <v>43246</v>
      </c>
      <c r="U7" s="14">
        <v>9.891</v>
      </c>
      <c r="V7" s="14">
        <v>1.2669999999999999</v>
      </c>
      <c r="W7" s="14">
        <v>8.6240000000000006</v>
      </c>
      <c r="X7" s="11">
        <v>64</v>
      </c>
      <c r="Y7" s="10">
        <v>43252</v>
      </c>
      <c r="Z7" s="11">
        <v>9980497200</v>
      </c>
      <c r="AA7" s="12" t="s">
        <v>74</v>
      </c>
      <c r="AB7" s="11" t="s">
        <v>64</v>
      </c>
      <c r="AC7" s="12" t="s">
        <v>65</v>
      </c>
      <c r="AD7" s="11" t="s">
        <v>44</v>
      </c>
      <c r="AE7" s="12" t="s">
        <v>45</v>
      </c>
      <c r="AF7" s="14">
        <v>9.8909999999999998E-2</v>
      </c>
      <c r="AG7" s="11" t="s">
        <v>53</v>
      </c>
    </row>
    <row r="8" spans="1:33" x14ac:dyDescent="0.2">
      <c r="A8" s="8">
        <v>2185</v>
      </c>
      <c r="B8" s="9" t="s">
        <v>71</v>
      </c>
      <c r="C8" s="10">
        <v>43266</v>
      </c>
      <c r="D8" s="11">
        <v>153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75</v>
      </c>
      <c r="J8" s="12" t="s">
        <v>76</v>
      </c>
      <c r="K8" s="13" t="s">
        <v>40</v>
      </c>
      <c r="L8" s="11" t="str">
        <f>"000005"</f>
        <v>000005</v>
      </c>
      <c r="M8" s="10">
        <v>42936</v>
      </c>
      <c r="N8" s="11" t="str">
        <f>"000044"</f>
        <v>000044</v>
      </c>
      <c r="O8" s="10">
        <v>43175</v>
      </c>
      <c r="P8" s="11" t="str">
        <f>"000006"</f>
        <v>000006</v>
      </c>
      <c r="Q8" s="10">
        <v>43246</v>
      </c>
      <c r="R8" s="11">
        <v>17</v>
      </c>
      <c r="S8" s="11" t="str">
        <f>"002604"</f>
        <v>002604</v>
      </c>
      <c r="T8" s="10">
        <v>43265</v>
      </c>
      <c r="U8" s="14">
        <v>3.343</v>
      </c>
      <c r="V8" s="14">
        <v>0.12609999999999999</v>
      </c>
      <c r="W8" s="14">
        <v>3.2168999999999999</v>
      </c>
      <c r="X8" s="11">
        <v>86</v>
      </c>
      <c r="Y8" s="10">
        <v>43266</v>
      </c>
      <c r="Z8" s="11">
        <v>9036090277</v>
      </c>
      <c r="AA8" s="12" t="s">
        <v>77</v>
      </c>
      <c r="AB8" s="11" t="s">
        <v>51</v>
      </c>
      <c r="AC8" s="12" t="s">
        <v>52</v>
      </c>
      <c r="AD8" s="11" t="s">
        <v>44</v>
      </c>
      <c r="AE8" s="12" t="s">
        <v>45</v>
      </c>
      <c r="AF8" s="14">
        <v>3.3430000000000001E-2</v>
      </c>
      <c r="AG8" s="11" t="s">
        <v>46</v>
      </c>
    </row>
    <row r="9" spans="1:33" x14ac:dyDescent="0.2">
      <c r="A9" s="8">
        <v>2598</v>
      </c>
      <c r="B9" s="9" t="s">
        <v>71</v>
      </c>
      <c r="C9" s="10">
        <v>43274</v>
      </c>
      <c r="D9" s="11">
        <v>153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78</v>
      </c>
      <c r="J9" s="12" t="s">
        <v>79</v>
      </c>
      <c r="K9" s="13" t="s">
        <v>49</v>
      </c>
      <c r="L9" s="11" t="str">
        <f>"000028"</f>
        <v>000028</v>
      </c>
      <c r="M9" s="10">
        <v>42416</v>
      </c>
      <c r="N9" s="11" t="str">
        <f>"000101"</f>
        <v>000101</v>
      </c>
      <c r="O9" s="10">
        <v>42648</v>
      </c>
      <c r="P9" s="11" t="str">
        <f>"000199"</f>
        <v>000199</v>
      </c>
      <c r="Q9" s="10">
        <v>42671</v>
      </c>
      <c r="R9" s="11">
        <v>16</v>
      </c>
      <c r="S9" s="11" t="str">
        <f>"002822"</f>
        <v>002822</v>
      </c>
      <c r="T9" s="10">
        <v>43273</v>
      </c>
      <c r="U9" s="14">
        <v>14.215999999999999</v>
      </c>
      <c r="V9" s="14">
        <v>1.9690000000000001</v>
      </c>
      <c r="W9" s="14">
        <v>12.247</v>
      </c>
      <c r="X9" s="11">
        <v>99</v>
      </c>
      <c r="Y9" s="10">
        <v>43274</v>
      </c>
      <c r="Z9" s="11">
        <v>9448040740</v>
      </c>
      <c r="AA9" s="12" t="s">
        <v>80</v>
      </c>
      <c r="AB9" s="11" t="s">
        <v>64</v>
      </c>
      <c r="AC9" s="12" t="s">
        <v>65</v>
      </c>
      <c r="AD9" s="11" t="s">
        <v>44</v>
      </c>
      <c r="AE9" s="12" t="s">
        <v>45</v>
      </c>
      <c r="AF9" s="14">
        <v>0.14215999999999998</v>
      </c>
      <c r="AG9" s="11" t="s">
        <v>53</v>
      </c>
    </row>
    <row r="10" spans="1:33" x14ac:dyDescent="0.2">
      <c r="A10" s="8">
        <v>2655</v>
      </c>
      <c r="B10" s="9" t="s">
        <v>71</v>
      </c>
      <c r="C10" s="10">
        <v>43276</v>
      </c>
      <c r="D10" s="11">
        <v>153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38</v>
      </c>
      <c r="J10" s="12" t="s">
        <v>39</v>
      </c>
      <c r="K10" s="13" t="s">
        <v>40</v>
      </c>
      <c r="L10" s="11" t="str">
        <f>"000056"</f>
        <v>000056</v>
      </c>
      <c r="M10" s="10">
        <v>42950</v>
      </c>
      <c r="N10" s="11" t="str">
        <f>"000045"</f>
        <v>000045</v>
      </c>
      <c r="O10" s="10">
        <v>43176</v>
      </c>
      <c r="P10" s="11" t="str">
        <f>"000007"</f>
        <v>000007</v>
      </c>
      <c r="Q10" s="10">
        <v>43246</v>
      </c>
      <c r="R10" s="11">
        <v>11</v>
      </c>
      <c r="S10" s="11" t="str">
        <f>"002652"</f>
        <v>002652</v>
      </c>
      <c r="T10" s="10">
        <v>43269</v>
      </c>
      <c r="U10" s="14">
        <v>5.28</v>
      </c>
      <c r="V10" s="14">
        <v>0.23419999999999999</v>
      </c>
      <c r="W10" s="14">
        <v>5.0457999999999998</v>
      </c>
      <c r="X10" s="11">
        <v>100</v>
      </c>
      <c r="Y10" s="10">
        <v>43276</v>
      </c>
      <c r="Z10" s="11">
        <v>9036090277</v>
      </c>
      <c r="AA10" s="12" t="s">
        <v>41</v>
      </c>
      <c r="AB10" s="11" t="s">
        <v>42</v>
      </c>
      <c r="AC10" s="12" t="s">
        <v>43</v>
      </c>
      <c r="AD10" s="11" t="s">
        <v>44</v>
      </c>
      <c r="AE10" s="12" t="s">
        <v>45</v>
      </c>
      <c r="AF10" s="14">
        <v>5.28E-2</v>
      </c>
      <c r="AG10" s="11" t="s">
        <v>46</v>
      </c>
    </row>
    <row r="11" spans="1:33" x14ac:dyDescent="0.2">
      <c r="A11" s="8">
        <v>3249</v>
      </c>
      <c r="B11" s="9" t="s">
        <v>81</v>
      </c>
      <c r="C11" s="10">
        <v>43293</v>
      </c>
      <c r="D11" s="11">
        <v>153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82</v>
      </c>
      <c r="J11" s="12" t="s">
        <v>83</v>
      </c>
      <c r="K11" s="13" t="s">
        <v>84</v>
      </c>
      <c r="L11" s="11" t="str">
        <f>"000129"</f>
        <v>000129</v>
      </c>
      <c r="M11" s="10">
        <v>43143</v>
      </c>
      <c r="N11" s="11" t="str">
        <f>"000009"</f>
        <v>000009</v>
      </c>
      <c r="O11" s="10">
        <v>43271</v>
      </c>
      <c r="P11" s="11" t="str">
        <f>"000020"</f>
        <v>000020</v>
      </c>
      <c r="Q11" s="10">
        <v>43272</v>
      </c>
      <c r="R11" s="11">
        <v>17</v>
      </c>
      <c r="S11" s="11" t="str">
        <f>"003602"</f>
        <v>003602</v>
      </c>
      <c r="T11" s="10">
        <v>43292</v>
      </c>
      <c r="U11" s="14">
        <v>22.2</v>
      </c>
      <c r="V11" s="14">
        <v>0.5484</v>
      </c>
      <c r="W11" s="14">
        <v>21.651599999999998</v>
      </c>
      <c r="X11" s="11">
        <v>123</v>
      </c>
      <c r="Y11" s="10">
        <v>43293</v>
      </c>
      <c r="Z11" s="11">
        <v>9448040740</v>
      </c>
      <c r="AA11" s="12" t="s">
        <v>85</v>
      </c>
      <c r="AB11" s="11" t="s">
        <v>86</v>
      </c>
      <c r="AC11" s="12" t="s">
        <v>87</v>
      </c>
      <c r="AD11" s="11" t="s">
        <v>44</v>
      </c>
      <c r="AE11" s="12" t="s">
        <v>45</v>
      </c>
      <c r="AF11" s="14">
        <v>0.222</v>
      </c>
      <c r="AG11" s="11" t="s">
        <v>46</v>
      </c>
    </row>
    <row r="12" spans="1:33" x14ac:dyDescent="0.2">
      <c r="A12" s="8">
        <v>3583</v>
      </c>
      <c r="B12" s="9" t="s">
        <v>81</v>
      </c>
      <c r="C12" s="10">
        <v>43299</v>
      </c>
      <c r="D12" s="11">
        <v>153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88</v>
      </c>
      <c r="J12" s="12" t="s">
        <v>89</v>
      </c>
      <c r="K12" s="13" t="s">
        <v>49</v>
      </c>
      <c r="L12" s="11" t="str">
        <f>"000020"</f>
        <v>000020</v>
      </c>
      <c r="M12" s="10">
        <v>42934</v>
      </c>
      <c r="N12" s="11" t="str">
        <f>"000132"</f>
        <v>000132</v>
      </c>
      <c r="O12" s="10">
        <v>43181</v>
      </c>
      <c r="P12" s="11" t="str">
        <f>"000134"</f>
        <v>000134</v>
      </c>
      <c r="Q12" s="10">
        <v>43181</v>
      </c>
      <c r="R12" s="11">
        <v>16</v>
      </c>
      <c r="S12" s="11" t="str">
        <f>"004027"</f>
        <v>004027</v>
      </c>
      <c r="T12" s="10">
        <v>43300</v>
      </c>
      <c r="U12" s="14">
        <v>8.08718</v>
      </c>
      <c r="V12" s="14">
        <v>0.70918000000000003</v>
      </c>
      <c r="W12" s="14">
        <v>7.3780000000000001</v>
      </c>
      <c r="X12" s="11">
        <v>127</v>
      </c>
      <c r="Y12" s="10">
        <v>43299</v>
      </c>
      <c r="Z12" s="11">
        <v>0</v>
      </c>
      <c r="AA12" s="12" t="s">
        <v>90</v>
      </c>
      <c r="AB12" s="11" t="s">
        <v>91</v>
      </c>
      <c r="AC12" s="12" t="s">
        <v>92</v>
      </c>
      <c r="AD12" s="11" t="s">
        <v>58</v>
      </c>
      <c r="AE12" s="12" t="s">
        <v>59</v>
      </c>
      <c r="AF12" s="14">
        <v>8.0871799999999994E-2</v>
      </c>
      <c r="AG12" s="11" t="s">
        <v>53</v>
      </c>
    </row>
    <row r="13" spans="1:33" x14ac:dyDescent="0.2">
      <c r="A13" s="8">
        <v>3584</v>
      </c>
      <c r="B13" s="9" t="s">
        <v>81</v>
      </c>
      <c r="C13" s="10">
        <v>43299</v>
      </c>
      <c r="D13" s="11">
        <v>153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93</v>
      </c>
      <c r="J13" s="12" t="s">
        <v>94</v>
      </c>
      <c r="K13" s="13" t="s">
        <v>84</v>
      </c>
      <c r="L13" s="11" t="str">
        <f>"000054"</f>
        <v>000054</v>
      </c>
      <c r="M13" s="10">
        <v>43191</v>
      </c>
      <c r="N13" s="11" t="str">
        <f>"000012"</f>
        <v>000012</v>
      </c>
      <c r="O13" s="10">
        <v>42978</v>
      </c>
      <c r="P13" s="11" t="str">
        <f>"000038"</f>
        <v>000038</v>
      </c>
      <c r="Q13" s="10">
        <v>42978</v>
      </c>
      <c r="R13" s="11">
        <v>17</v>
      </c>
      <c r="S13" s="11" t="str">
        <f>"003821"</f>
        <v>003821</v>
      </c>
      <c r="T13" s="10">
        <v>43297</v>
      </c>
      <c r="U13" s="14">
        <v>14.856999999999999</v>
      </c>
      <c r="V13" s="14">
        <v>1.7454000000000001</v>
      </c>
      <c r="W13" s="14">
        <v>13.111599999999999</v>
      </c>
      <c r="X13" s="11">
        <v>129</v>
      </c>
      <c r="Y13" s="10">
        <v>43299</v>
      </c>
      <c r="Z13" s="11">
        <v>9742855442</v>
      </c>
      <c r="AA13" s="12" t="s">
        <v>95</v>
      </c>
      <c r="AB13" s="11" t="s">
        <v>96</v>
      </c>
      <c r="AC13" s="12" t="s">
        <v>97</v>
      </c>
      <c r="AD13" s="11" t="s">
        <v>44</v>
      </c>
      <c r="AE13" s="12" t="s">
        <v>45</v>
      </c>
      <c r="AF13" s="14">
        <v>0.14856999999999998</v>
      </c>
      <c r="AG13" s="11" t="s">
        <v>46</v>
      </c>
    </row>
    <row r="14" spans="1:33" x14ac:dyDescent="0.2">
      <c r="A14" s="8">
        <v>3783</v>
      </c>
      <c r="B14" s="9" t="s">
        <v>81</v>
      </c>
      <c r="C14" s="10">
        <v>43301</v>
      </c>
      <c r="D14" s="11">
        <v>153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88</v>
      </c>
      <c r="J14" s="12" t="s">
        <v>89</v>
      </c>
      <c r="K14" s="13" t="s">
        <v>49</v>
      </c>
      <c r="L14" s="11" t="str">
        <f>"000020"</f>
        <v>000020</v>
      </c>
      <c r="M14" s="10">
        <v>42934</v>
      </c>
      <c r="N14" s="11" t="str">
        <f>"000132"</f>
        <v>000132</v>
      </c>
      <c r="O14" s="10">
        <v>43181</v>
      </c>
      <c r="P14" s="11" t="str">
        <f>"000134"</f>
        <v>000134</v>
      </c>
      <c r="Q14" s="10">
        <v>43181</v>
      </c>
      <c r="R14" s="11">
        <v>16</v>
      </c>
      <c r="S14" s="11" t="str">
        <f>"004027"</f>
        <v>004027</v>
      </c>
      <c r="T14" s="10">
        <v>43300</v>
      </c>
      <c r="U14" s="14">
        <v>2.6957200000000001</v>
      </c>
      <c r="V14" s="14">
        <v>0.28038000000000002</v>
      </c>
      <c r="W14" s="14">
        <v>2.41534</v>
      </c>
      <c r="X14" s="11">
        <v>134</v>
      </c>
      <c r="Y14" s="10">
        <v>43301</v>
      </c>
      <c r="Z14" s="11">
        <v>0</v>
      </c>
      <c r="AA14" s="12" t="s">
        <v>90</v>
      </c>
      <c r="AB14" s="11" t="s">
        <v>91</v>
      </c>
      <c r="AC14" s="12" t="s">
        <v>92</v>
      </c>
      <c r="AD14" s="11" t="s">
        <v>58</v>
      </c>
      <c r="AE14" s="12" t="s">
        <v>59</v>
      </c>
      <c r="AF14" s="14">
        <v>2.6957200000000001E-2</v>
      </c>
      <c r="AG14" s="11" t="s">
        <v>53</v>
      </c>
    </row>
    <row r="15" spans="1:33" x14ac:dyDescent="0.2">
      <c r="A15" s="8">
        <v>4157</v>
      </c>
      <c r="B15" s="9" t="s">
        <v>81</v>
      </c>
      <c r="C15" s="10">
        <v>43308</v>
      </c>
      <c r="D15" s="11">
        <v>153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98</v>
      </c>
      <c r="J15" s="12" t="s">
        <v>99</v>
      </c>
      <c r="K15" s="13" t="s">
        <v>49</v>
      </c>
      <c r="L15" s="11" t="str">
        <f>"000148"</f>
        <v>000148</v>
      </c>
      <c r="M15" s="10">
        <v>43186</v>
      </c>
      <c r="N15" s="11" t="str">
        <f>"000016"</f>
        <v>000016</v>
      </c>
      <c r="O15" s="10">
        <v>43279</v>
      </c>
      <c r="P15" s="11" t="str">
        <f>"000029"</f>
        <v>000029</v>
      </c>
      <c r="Q15" s="10">
        <v>43294</v>
      </c>
      <c r="R15" s="11">
        <v>18</v>
      </c>
      <c r="S15" s="11" t="str">
        <f>"004472"</f>
        <v>004472</v>
      </c>
      <c r="T15" s="10">
        <v>43308</v>
      </c>
      <c r="U15" s="14">
        <v>24.969000000000001</v>
      </c>
      <c r="V15" s="14">
        <v>2.7442000000000002</v>
      </c>
      <c r="W15" s="14">
        <v>22.224799999999998</v>
      </c>
      <c r="X15" s="11">
        <v>145</v>
      </c>
      <c r="Y15" s="10">
        <v>43308</v>
      </c>
      <c r="Z15" s="11">
        <v>8277644978</v>
      </c>
      <c r="AA15" s="12" t="s">
        <v>100</v>
      </c>
      <c r="AB15" s="11" t="s">
        <v>51</v>
      </c>
      <c r="AC15" s="12" t="s">
        <v>52</v>
      </c>
      <c r="AD15" s="11" t="s">
        <v>44</v>
      </c>
      <c r="AE15" s="12" t="s">
        <v>45</v>
      </c>
      <c r="AF15" s="14">
        <v>0.24969000000000002</v>
      </c>
      <c r="AG15" s="11" t="s">
        <v>46</v>
      </c>
    </row>
    <row r="16" spans="1:33" x14ac:dyDescent="0.2">
      <c r="A16" s="8">
        <v>4158</v>
      </c>
      <c r="B16" s="9" t="s">
        <v>81</v>
      </c>
      <c r="C16" s="10">
        <v>43308</v>
      </c>
      <c r="D16" s="11">
        <v>153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101</v>
      </c>
      <c r="J16" s="12" t="s">
        <v>102</v>
      </c>
      <c r="K16" s="13" t="s">
        <v>49</v>
      </c>
      <c r="L16" s="11" t="str">
        <f>"000116"</f>
        <v>000116</v>
      </c>
      <c r="M16" s="10">
        <v>43101</v>
      </c>
      <c r="N16" s="11" t="str">
        <f>"000014"</f>
        <v>000014</v>
      </c>
      <c r="O16" s="10">
        <v>43279</v>
      </c>
      <c r="P16" s="11" t="str">
        <f>"000027"</f>
        <v>000027</v>
      </c>
      <c r="Q16" s="10">
        <v>43294</v>
      </c>
      <c r="R16" s="11">
        <v>17</v>
      </c>
      <c r="S16" s="11" t="str">
        <f>"004473"</f>
        <v>004473</v>
      </c>
      <c r="T16" s="10">
        <v>43308</v>
      </c>
      <c r="U16" s="14">
        <v>19.681999999999999</v>
      </c>
      <c r="V16" s="14">
        <v>0.63790000000000002</v>
      </c>
      <c r="W16" s="14">
        <v>19.0441</v>
      </c>
      <c r="X16" s="11">
        <v>145</v>
      </c>
      <c r="Y16" s="10">
        <v>43308</v>
      </c>
      <c r="Z16" s="11">
        <v>8277644378</v>
      </c>
      <c r="AA16" s="12" t="s">
        <v>103</v>
      </c>
      <c r="AB16" s="11" t="s">
        <v>51</v>
      </c>
      <c r="AC16" s="12" t="s">
        <v>52</v>
      </c>
      <c r="AD16" s="11" t="s">
        <v>44</v>
      </c>
      <c r="AE16" s="12" t="s">
        <v>45</v>
      </c>
      <c r="AF16" s="14">
        <v>0.19681999999999999</v>
      </c>
      <c r="AG16" s="11" t="s">
        <v>46</v>
      </c>
    </row>
    <row r="17" spans="1:33" x14ac:dyDescent="0.2">
      <c r="A17" s="8">
        <v>4159</v>
      </c>
      <c r="B17" s="9" t="s">
        <v>81</v>
      </c>
      <c r="C17" s="10">
        <v>43308</v>
      </c>
      <c r="D17" s="11">
        <v>153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104</v>
      </c>
      <c r="J17" s="12" t="s">
        <v>105</v>
      </c>
      <c r="K17" s="13" t="s">
        <v>49</v>
      </c>
      <c r="L17" s="11" t="str">
        <f>"000146"</f>
        <v>000146</v>
      </c>
      <c r="M17" s="10">
        <v>43186</v>
      </c>
      <c r="N17" s="11" t="str">
        <f>"000017"</f>
        <v>000017</v>
      </c>
      <c r="O17" s="10">
        <v>43279</v>
      </c>
      <c r="P17" s="11" t="str">
        <f>"000030"</f>
        <v>000030</v>
      </c>
      <c r="Q17" s="10">
        <v>43294</v>
      </c>
      <c r="R17" s="11">
        <v>18</v>
      </c>
      <c r="S17" s="11" t="str">
        <f>"004474"</f>
        <v>004474</v>
      </c>
      <c r="T17" s="10">
        <v>43308</v>
      </c>
      <c r="U17" s="14">
        <v>19.989999999999998</v>
      </c>
      <c r="V17" s="14">
        <v>2.1459000000000001</v>
      </c>
      <c r="W17" s="14">
        <v>17.844100000000001</v>
      </c>
      <c r="X17" s="11">
        <v>145</v>
      </c>
      <c r="Y17" s="10">
        <v>43308</v>
      </c>
      <c r="Z17" s="11">
        <v>8277644978</v>
      </c>
      <c r="AA17" s="12" t="s">
        <v>100</v>
      </c>
      <c r="AB17" s="11" t="s">
        <v>51</v>
      </c>
      <c r="AC17" s="12" t="s">
        <v>52</v>
      </c>
      <c r="AD17" s="11" t="s">
        <v>44</v>
      </c>
      <c r="AE17" s="12" t="s">
        <v>45</v>
      </c>
      <c r="AF17" s="14">
        <v>0.19989999999999999</v>
      </c>
      <c r="AG17" s="11" t="s">
        <v>46</v>
      </c>
    </row>
    <row r="18" spans="1:33" x14ac:dyDescent="0.2">
      <c r="A18" s="8">
        <v>4569</v>
      </c>
      <c r="B18" s="9" t="s">
        <v>106</v>
      </c>
      <c r="C18" s="10">
        <v>43318</v>
      </c>
      <c r="D18" s="11">
        <v>153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107</v>
      </c>
      <c r="J18" s="12" t="s">
        <v>108</v>
      </c>
      <c r="K18" s="13" t="s">
        <v>109</v>
      </c>
      <c r="L18" s="11" t="str">
        <f>"000044"</f>
        <v>000044</v>
      </c>
      <c r="M18" s="10">
        <v>43191</v>
      </c>
      <c r="N18" s="11" t="str">
        <f>"000078"</f>
        <v>000078</v>
      </c>
      <c r="O18" s="10">
        <v>43080</v>
      </c>
      <c r="P18" s="11" t="str">
        <f>"000078"</f>
        <v>000078</v>
      </c>
      <c r="Q18" s="10">
        <v>43096</v>
      </c>
      <c r="R18" s="11">
        <v>17</v>
      </c>
      <c r="S18" s="11" t="str">
        <f>"004798"</f>
        <v>004798</v>
      </c>
      <c r="T18" s="10">
        <v>43315</v>
      </c>
      <c r="U18" s="14">
        <v>3.7770999999999999</v>
      </c>
      <c r="V18" s="14">
        <v>0.19263</v>
      </c>
      <c r="W18" s="14">
        <v>3.58447</v>
      </c>
      <c r="X18" s="11">
        <v>157</v>
      </c>
      <c r="Y18" s="10">
        <v>43318</v>
      </c>
      <c r="Z18" s="11">
        <v>0</v>
      </c>
      <c r="AA18" s="12" t="s">
        <v>110</v>
      </c>
      <c r="AB18" s="11" t="s">
        <v>111</v>
      </c>
      <c r="AC18" s="12" t="s">
        <v>112</v>
      </c>
      <c r="AD18" s="11" t="s">
        <v>58</v>
      </c>
      <c r="AE18" s="12" t="s">
        <v>59</v>
      </c>
      <c r="AF18" s="14">
        <v>3.7770999999999999E-2</v>
      </c>
      <c r="AG18" s="11" t="s">
        <v>46</v>
      </c>
    </row>
    <row r="19" spans="1:33" x14ac:dyDescent="0.2">
      <c r="A19" s="8">
        <v>4570</v>
      </c>
      <c r="B19" s="9" t="s">
        <v>106</v>
      </c>
      <c r="C19" s="10">
        <v>43318</v>
      </c>
      <c r="D19" s="11">
        <v>153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113</v>
      </c>
      <c r="J19" s="12" t="s">
        <v>114</v>
      </c>
      <c r="K19" s="13" t="s">
        <v>115</v>
      </c>
      <c r="L19" s="11" t="str">
        <f>"000132"</f>
        <v>000132</v>
      </c>
      <c r="M19" s="10">
        <v>43154</v>
      </c>
      <c r="N19" s="11" t="str">
        <f>"000011"</f>
        <v>000011</v>
      </c>
      <c r="O19" s="10">
        <v>43279</v>
      </c>
      <c r="P19" s="11" t="str">
        <f>"000024"</f>
        <v>000024</v>
      </c>
      <c r="Q19" s="10">
        <v>43279</v>
      </c>
      <c r="R19" s="11">
        <v>17</v>
      </c>
      <c r="S19" s="11" t="str">
        <f>"004888"</f>
        <v>004888</v>
      </c>
      <c r="T19" s="10">
        <v>43316</v>
      </c>
      <c r="U19" s="14">
        <v>19.908999999999999</v>
      </c>
      <c r="V19" s="14">
        <v>2.5326</v>
      </c>
      <c r="W19" s="14">
        <v>17.3764</v>
      </c>
      <c r="X19" s="11">
        <v>157</v>
      </c>
      <c r="Y19" s="10">
        <v>43318</v>
      </c>
      <c r="Z19" s="11">
        <v>9448160234</v>
      </c>
      <c r="AA19" s="12" t="s">
        <v>116</v>
      </c>
      <c r="AB19" s="11" t="s">
        <v>64</v>
      </c>
      <c r="AC19" s="12" t="s">
        <v>65</v>
      </c>
      <c r="AD19" s="11" t="s">
        <v>44</v>
      </c>
      <c r="AE19" s="12" t="s">
        <v>45</v>
      </c>
      <c r="AF19" s="14">
        <v>0.19908999999999999</v>
      </c>
      <c r="AG19" s="11" t="s">
        <v>46</v>
      </c>
    </row>
    <row r="20" spans="1:33" x14ac:dyDescent="0.2">
      <c r="A20" s="8">
        <v>5500</v>
      </c>
      <c r="B20" s="9" t="s">
        <v>117</v>
      </c>
      <c r="C20" s="10">
        <v>43357</v>
      </c>
      <c r="D20" s="11">
        <v>153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118</v>
      </c>
      <c r="J20" s="12" t="s">
        <v>119</v>
      </c>
      <c r="K20" s="13" t="s">
        <v>40</v>
      </c>
      <c r="L20" s="11" t="str">
        <f>"000011"</f>
        <v>000011</v>
      </c>
      <c r="M20" s="10">
        <v>42838</v>
      </c>
      <c r="N20" s="11" t="str">
        <f>"000059"</f>
        <v>000059</v>
      </c>
      <c r="O20" s="10">
        <v>42913</v>
      </c>
      <c r="P20" s="11" t="str">
        <f>"000106"</f>
        <v>000106</v>
      </c>
      <c r="Q20" s="10">
        <v>42916</v>
      </c>
      <c r="R20" s="11">
        <v>15</v>
      </c>
      <c r="S20" s="11" t="str">
        <f>"005670"</f>
        <v>005670</v>
      </c>
      <c r="T20" s="10">
        <v>43350</v>
      </c>
      <c r="U20" s="14">
        <v>4.9470000000000001</v>
      </c>
      <c r="V20" s="14">
        <v>0.30330000000000001</v>
      </c>
      <c r="W20" s="14">
        <v>4.6436999999999999</v>
      </c>
      <c r="X20" s="11">
        <v>204</v>
      </c>
      <c r="Y20" s="10">
        <v>43357</v>
      </c>
      <c r="Z20" s="11">
        <v>9845524294</v>
      </c>
      <c r="AA20" s="12" t="s">
        <v>120</v>
      </c>
      <c r="AB20" s="11" t="s">
        <v>64</v>
      </c>
      <c r="AC20" s="12" t="s">
        <v>65</v>
      </c>
      <c r="AD20" s="11" t="s">
        <v>44</v>
      </c>
      <c r="AE20" s="12" t="s">
        <v>45</v>
      </c>
      <c r="AF20" s="14">
        <f t="shared" ref="AF20:AF36" si="0">U20/100</f>
        <v>4.947E-2</v>
      </c>
      <c r="AG20" s="11" t="s">
        <v>53</v>
      </c>
    </row>
    <row r="21" spans="1:33" x14ac:dyDescent="0.2">
      <c r="A21" s="8">
        <v>5546</v>
      </c>
      <c r="B21" s="9" t="s">
        <v>117</v>
      </c>
      <c r="C21" s="10">
        <v>43362</v>
      </c>
      <c r="D21" s="11">
        <v>153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121</v>
      </c>
      <c r="J21" s="12" t="s">
        <v>122</v>
      </c>
      <c r="K21" s="13" t="s">
        <v>40</v>
      </c>
      <c r="L21" s="11" t="str">
        <f>"000013"</f>
        <v>000013</v>
      </c>
      <c r="M21" s="10">
        <v>42109</v>
      </c>
      <c r="N21" s="11" t="str">
        <f>"000164"</f>
        <v>000164</v>
      </c>
      <c r="O21" s="10">
        <v>42779</v>
      </c>
      <c r="P21" s="11" t="str">
        <f>"000345"</f>
        <v>000345</v>
      </c>
      <c r="Q21" s="10">
        <v>42784</v>
      </c>
      <c r="R21" s="11">
        <v>15</v>
      </c>
      <c r="S21" s="11" t="str">
        <f>"005595"</f>
        <v>005595</v>
      </c>
      <c r="T21" s="10">
        <v>43347</v>
      </c>
      <c r="U21" s="14">
        <v>12.292999999999999</v>
      </c>
      <c r="V21" s="14">
        <v>1.5519000000000001</v>
      </c>
      <c r="W21" s="14">
        <v>10.741099999999999</v>
      </c>
      <c r="X21" s="11">
        <v>207</v>
      </c>
      <c r="Y21" s="10">
        <v>43362</v>
      </c>
      <c r="Z21" s="11">
        <v>9845999123</v>
      </c>
      <c r="AA21" s="12" t="s">
        <v>50</v>
      </c>
      <c r="AB21" s="11" t="s">
        <v>64</v>
      </c>
      <c r="AC21" s="12" t="s">
        <v>65</v>
      </c>
      <c r="AD21" s="11" t="s">
        <v>44</v>
      </c>
      <c r="AE21" s="12" t="s">
        <v>45</v>
      </c>
      <c r="AF21" s="14">
        <f t="shared" si="0"/>
        <v>0.12293</v>
      </c>
      <c r="AG21" s="11" t="s">
        <v>53</v>
      </c>
    </row>
    <row r="22" spans="1:33" x14ac:dyDescent="0.2">
      <c r="A22" s="8">
        <v>5727</v>
      </c>
      <c r="B22" s="9" t="s">
        <v>117</v>
      </c>
      <c r="C22" s="10">
        <v>43370</v>
      </c>
      <c r="D22" s="11">
        <v>153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123</v>
      </c>
      <c r="J22" s="12" t="s">
        <v>124</v>
      </c>
      <c r="K22" s="13" t="s">
        <v>49</v>
      </c>
      <c r="L22" s="11" t="str">
        <f>"000029"</f>
        <v>000029</v>
      </c>
      <c r="M22" s="10">
        <v>42416</v>
      </c>
      <c r="N22" s="11" t="str">
        <f>"000013"</f>
        <v>000013</v>
      </c>
      <c r="O22" s="10">
        <v>42853</v>
      </c>
      <c r="P22" s="11" t="str">
        <f>"000022"</f>
        <v>000022</v>
      </c>
      <c r="Q22" s="10">
        <v>42853</v>
      </c>
      <c r="R22" s="11">
        <v>16</v>
      </c>
      <c r="S22" s="11" t="str">
        <f>"005901"</f>
        <v>005901</v>
      </c>
      <c r="T22" s="10">
        <v>43367</v>
      </c>
      <c r="U22" s="14">
        <v>14.243</v>
      </c>
      <c r="V22" s="14">
        <v>1.9205000000000001</v>
      </c>
      <c r="W22" s="14">
        <v>12.3225</v>
      </c>
      <c r="X22" s="11">
        <v>217</v>
      </c>
      <c r="Y22" s="10">
        <v>43370</v>
      </c>
      <c r="Z22" s="11">
        <v>9448040740</v>
      </c>
      <c r="AA22" s="12" t="s">
        <v>80</v>
      </c>
      <c r="AB22" s="11" t="s">
        <v>64</v>
      </c>
      <c r="AC22" s="12" t="s">
        <v>65</v>
      </c>
      <c r="AD22" s="11" t="s">
        <v>44</v>
      </c>
      <c r="AE22" s="12" t="s">
        <v>45</v>
      </c>
      <c r="AF22" s="14">
        <f t="shared" si="0"/>
        <v>0.14243</v>
      </c>
      <c r="AG22" s="11" t="s">
        <v>53</v>
      </c>
    </row>
    <row r="23" spans="1:33" x14ac:dyDescent="0.2">
      <c r="A23" s="8">
        <v>6235</v>
      </c>
      <c r="B23" s="9" t="s">
        <v>125</v>
      </c>
      <c r="C23" s="10">
        <v>43385</v>
      </c>
      <c r="D23" s="11">
        <v>153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126</v>
      </c>
      <c r="J23" s="12" t="s">
        <v>127</v>
      </c>
      <c r="K23" s="13" t="s">
        <v>115</v>
      </c>
      <c r="L23" s="11" t="str">
        <f>"000009"</f>
        <v>000009</v>
      </c>
      <c r="M23" s="10">
        <v>42835</v>
      </c>
      <c r="N23" s="11" t="str">
        <f>"000015"</f>
        <v>000015</v>
      </c>
      <c r="O23" s="10">
        <v>42853</v>
      </c>
      <c r="P23" s="11" t="str">
        <f>"000026"</f>
        <v>000026</v>
      </c>
      <c r="Q23" s="10">
        <v>42853</v>
      </c>
      <c r="R23" s="11">
        <v>17</v>
      </c>
      <c r="S23" s="11" t="str">
        <f>"006018"</f>
        <v>006018</v>
      </c>
      <c r="T23" s="10">
        <v>43374</v>
      </c>
      <c r="U23" s="14">
        <v>20.585000000000001</v>
      </c>
      <c r="V23" s="14">
        <v>1.9319999999999999</v>
      </c>
      <c r="W23" s="14">
        <v>18.652999999999999</v>
      </c>
      <c r="X23" s="11">
        <v>230</v>
      </c>
      <c r="Y23" s="10">
        <v>43385</v>
      </c>
      <c r="Z23" s="11">
        <v>8297644978</v>
      </c>
      <c r="AA23" s="12" t="s">
        <v>128</v>
      </c>
      <c r="AB23" s="11" t="s">
        <v>64</v>
      </c>
      <c r="AC23" s="12" t="s">
        <v>65</v>
      </c>
      <c r="AD23" s="11" t="s">
        <v>44</v>
      </c>
      <c r="AE23" s="12" t="s">
        <v>45</v>
      </c>
      <c r="AF23" s="14">
        <f t="shared" si="0"/>
        <v>0.20585000000000001</v>
      </c>
      <c r="AG23" s="11" t="s">
        <v>53</v>
      </c>
    </row>
    <row r="24" spans="1:33" x14ac:dyDescent="0.2">
      <c r="A24" s="8">
        <v>6236</v>
      </c>
      <c r="B24" s="9" t="s">
        <v>125</v>
      </c>
      <c r="C24" s="10">
        <v>43385</v>
      </c>
      <c r="D24" s="11">
        <v>153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129</v>
      </c>
      <c r="J24" s="12" t="s">
        <v>130</v>
      </c>
      <c r="K24" s="13" t="s">
        <v>40</v>
      </c>
      <c r="L24" s="11" t="str">
        <f>"000184"</f>
        <v>000184</v>
      </c>
      <c r="M24" s="10">
        <v>41655</v>
      </c>
      <c r="N24" s="11" t="str">
        <f>"000074"</f>
        <v>000074</v>
      </c>
      <c r="O24" s="10">
        <v>42583</v>
      </c>
      <c r="P24" s="11" t="str">
        <f>"000151"</f>
        <v>000151</v>
      </c>
      <c r="Q24" s="10">
        <v>42602</v>
      </c>
      <c r="R24" s="11">
        <v>14</v>
      </c>
      <c r="S24" s="11" t="str">
        <f>"006159"</f>
        <v>006159</v>
      </c>
      <c r="T24" s="10">
        <v>43377</v>
      </c>
      <c r="U24" s="14">
        <v>4.8959999999999999</v>
      </c>
      <c r="V24" s="14">
        <v>0.84099999999999997</v>
      </c>
      <c r="W24" s="14">
        <v>4.0549999999999997</v>
      </c>
      <c r="X24" s="11">
        <v>231</v>
      </c>
      <c r="Y24" s="10">
        <v>43385</v>
      </c>
      <c r="Z24" s="11">
        <v>9341241309</v>
      </c>
      <c r="AA24" s="12" t="s">
        <v>131</v>
      </c>
      <c r="AB24" s="11" t="s">
        <v>64</v>
      </c>
      <c r="AC24" s="12" t="s">
        <v>65</v>
      </c>
      <c r="AD24" s="11" t="s">
        <v>44</v>
      </c>
      <c r="AE24" s="12" t="s">
        <v>45</v>
      </c>
      <c r="AF24" s="14">
        <f t="shared" si="0"/>
        <v>4.8959999999999997E-2</v>
      </c>
      <c r="AG24" s="11" t="s">
        <v>53</v>
      </c>
    </row>
    <row r="25" spans="1:33" x14ac:dyDescent="0.2">
      <c r="A25" s="8">
        <v>6618</v>
      </c>
      <c r="B25" s="9" t="s">
        <v>125</v>
      </c>
      <c r="C25" s="10">
        <v>43389</v>
      </c>
      <c r="D25" s="11">
        <v>153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132</v>
      </c>
      <c r="J25" s="12" t="s">
        <v>133</v>
      </c>
      <c r="K25" s="13" t="s">
        <v>84</v>
      </c>
      <c r="L25" s="11" t="str">
        <f>"000112"</f>
        <v>000112</v>
      </c>
      <c r="M25" s="10">
        <v>43088</v>
      </c>
      <c r="N25" s="11" t="str">
        <f>"000029"</f>
        <v>000029</v>
      </c>
      <c r="O25" s="10">
        <v>43120</v>
      </c>
      <c r="P25" s="11" t="str">
        <f>"000085"</f>
        <v>000085</v>
      </c>
      <c r="Q25" s="10">
        <v>43120</v>
      </c>
      <c r="R25" s="11">
        <v>18</v>
      </c>
      <c r="S25" s="11" t="str">
        <f>"006438"</f>
        <v>006438</v>
      </c>
      <c r="T25" s="10">
        <v>43382</v>
      </c>
      <c r="U25" s="14">
        <v>7.8380000000000001</v>
      </c>
      <c r="V25" s="14">
        <v>0.3236</v>
      </c>
      <c r="W25" s="14">
        <v>7.5144000000000002</v>
      </c>
      <c r="X25" s="11">
        <v>241</v>
      </c>
      <c r="Y25" s="10">
        <v>43389</v>
      </c>
      <c r="Z25" s="11">
        <v>9742855442</v>
      </c>
      <c r="AA25" s="12" t="s">
        <v>134</v>
      </c>
      <c r="AB25" s="11" t="s">
        <v>96</v>
      </c>
      <c r="AC25" s="12" t="s">
        <v>97</v>
      </c>
      <c r="AD25" s="11" t="s">
        <v>44</v>
      </c>
      <c r="AE25" s="12" t="s">
        <v>45</v>
      </c>
      <c r="AF25" s="14">
        <f t="shared" si="0"/>
        <v>7.8380000000000005E-2</v>
      </c>
      <c r="AG25" s="11" t="s">
        <v>53</v>
      </c>
    </row>
    <row r="26" spans="1:33" x14ac:dyDescent="0.2">
      <c r="A26" s="8">
        <v>7350</v>
      </c>
      <c r="B26" s="9" t="s">
        <v>135</v>
      </c>
      <c r="C26" s="10">
        <v>43424</v>
      </c>
      <c r="D26" s="11">
        <v>153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136</v>
      </c>
      <c r="J26" s="12" t="s">
        <v>137</v>
      </c>
      <c r="K26" s="13" t="s">
        <v>49</v>
      </c>
      <c r="L26" s="11" t="str">
        <f>"000154"</f>
        <v>000154</v>
      </c>
      <c r="M26" s="10">
        <v>43189</v>
      </c>
      <c r="N26" s="11" t="str">
        <f>"000029"</f>
        <v>000029</v>
      </c>
      <c r="O26" s="10">
        <v>43413</v>
      </c>
      <c r="P26" s="11" t="str">
        <f>"000065"</f>
        <v>000065</v>
      </c>
      <c r="Q26" s="10">
        <v>43413</v>
      </c>
      <c r="R26" s="11">
        <v>17</v>
      </c>
      <c r="S26" s="11" t="str">
        <f>"007410"</f>
        <v>007410</v>
      </c>
      <c r="T26" s="10">
        <v>43421</v>
      </c>
      <c r="U26" s="14">
        <v>48.99</v>
      </c>
      <c r="V26" s="14">
        <v>6.0060000000000002</v>
      </c>
      <c r="W26" s="14">
        <v>42.984000000000002</v>
      </c>
      <c r="X26" s="11">
        <v>270</v>
      </c>
      <c r="Y26" s="10">
        <v>43424</v>
      </c>
      <c r="Z26" s="11">
        <v>8277644978</v>
      </c>
      <c r="AA26" s="12" t="s">
        <v>100</v>
      </c>
      <c r="AB26" s="11" t="s">
        <v>51</v>
      </c>
      <c r="AC26" s="12" t="s">
        <v>52</v>
      </c>
      <c r="AD26" s="11" t="s">
        <v>44</v>
      </c>
      <c r="AE26" s="12" t="s">
        <v>45</v>
      </c>
      <c r="AF26" s="14">
        <f t="shared" si="0"/>
        <v>0.4899</v>
      </c>
      <c r="AG26" s="11" t="s">
        <v>46</v>
      </c>
    </row>
    <row r="27" spans="1:33" x14ac:dyDescent="0.2">
      <c r="A27" s="8">
        <v>7351</v>
      </c>
      <c r="B27" s="9" t="s">
        <v>135</v>
      </c>
      <c r="C27" s="10">
        <v>43424</v>
      </c>
      <c r="D27" s="11">
        <v>153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138</v>
      </c>
      <c r="J27" s="12" t="s">
        <v>139</v>
      </c>
      <c r="K27" s="13" t="s">
        <v>115</v>
      </c>
      <c r="L27" s="11" t="str">
        <f>"000149"</f>
        <v>000149</v>
      </c>
      <c r="M27" s="10">
        <v>43186</v>
      </c>
      <c r="N27" s="11" t="str">
        <f>"000031"</f>
        <v>000031</v>
      </c>
      <c r="O27" s="10">
        <v>43413</v>
      </c>
      <c r="P27" s="11" t="str">
        <f>"000067"</f>
        <v>000067</v>
      </c>
      <c r="Q27" s="10">
        <v>43413</v>
      </c>
      <c r="R27" s="11">
        <v>18</v>
      </c>
      <c r="S27" s="11" t="str">
        <f>"007411"</f>
        <v>007411</v>
      </c>
      <c r="T27" s="10">
        <v>43421</v>
      </c>
      <c r="U27" s="14">
        <v>19.984999999999999</v>
      </c>
      <c r="V27" s="14">
        <v>2.7498</v>
      </c>
      <c r="W27" s="14">
        <v>17.235199999999999</v>
      </c>
      <c r="X27" s="11">
        <v>270</v>
      </c>
      <c r="Y27" s="10">
        <v>43424</v>
      </c>
      <c r="Z27" s="11">
        <v>8277644978</v>
      </c>
      <c r="AA27" s="12" t="s">
        <v>100</v>
      </c>
      <c r="AB27" s="11" t="s">
        <v>51</v>
      </c>
      <c r="AC27" s="12" t="s">
        <v>52</v>
      </c>
      <c r="AD27" s="11" t="s">
        <v>44</v>
      </c>
      <c r="AE27" s="12" t="s">
        <v>45</v>
      </c>
      <c r="AF27" s="14">
        <f t="shared" si="0"/>
        <v>0.19985</v>
      </c>
      <c r="AG27" s="11" t="s">
        <v>46</v>
      </c>
    </row>
    <row r="28" spans="1:33" x14ac:dyDescent="0.2">
      <c r="A28" s="8">
        <v>7352</v>
      </c>
      <c r="B28" s="9" t="s">
        <v>135</v>
      </c>
      <c r="C28" s="10">
        <v>43424</v>
      </c>
      <c r="D28" s="11">
        <v>153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140</v>
      </c>
      <c r="J28" s="12" t="s">
        <v>141</v>
      </c>
      <c r="K28" s="13" t="s">
        <v>115</v>
      </c>
      <c r="L28" s="11" t="str">
        <f>"000147"</f>
        <v>000147</v>
      </c>
      <c r="M28" s="10">
        <v>43186</v>
      </c>
      <c r="N28" s="11" t="str">
        <f>"000032"</f>
        <v>000032</v>
      </c>
      <c r="O28" s="10">
        <v>43413</v>
      </c>
      <c r="P28" s="11" t="str">
        <f>"000068"</f>
        <v>000068</v>
      </c>
      <c r="Q28" s="10">
        <v>43413</v>
      </c>
      <c r="R28" s="11">
        <v>18</v>
      </c>
      <c r="S28" s="11" t="str">
        <f>"007412"</f>
        <v>007412</v>
      </c>
      <c r="T28" s="10">
        <v>43421</v>
      </c>
      <c r="U28" s="14">
        <v>14.962999999999999</v>
      </c>
      <c r="V28" s="14">
        <v>1.8298000000000001</v>
      </c>
      <c r="W28" s="14">
        <v>13.1332</v>
      </c>
      <c r="X28" s="11">
        <v>270</v>
      </c>
      <c r="Y28" s="10">
        <v>43424</v>
      </c>
      <c r="Z28" s="11">
        <v>8277644978</v>
      </c>
      <c r="AA28" s="12" t="s">
        <v>100</v>
      </c>
      <c r="AB28" s="11" t="s">
        <v>51</v>
      </c>
      <c r="AC28" s="12" t="s">
        <v>52</v>
      </c>
      <c r="AD28" s="11" t="s">
        <v>44</v>
      </c>
      <c r="AE28" s="12" t="s">
        <v>45</v>
      </c>
      <c r="AF28" s="14">
        <f t="shared" si="0"/>
        <v>0.14962999999999999</v>
      </c>
      <c r="AG28" s="11" t="s">
        <v>46</v>
      </c>
    </row>
    <row r="29" spans="1:33" x14ac:dyDescent="0.2">
      <c r="A29" s="8">
        <v>7353</v>
      </c>
      <c r="B29" s="9" t="s">
        <v>135</v>
      </c>
      <c r="C29" s="10">
        <v>43424</v>
      </c>
      <c r="D29" s="11">
        <v>153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142</v>
      </c>
      <c r="J29" s="12" t="s">
        <v>143</v>
      </c>
      <c r="K29" s="13" t="s">
        <v>40</v>
      </c>
      <c r="L29" s="11" t="str">
        <f>"000150"</f>
        <v>000150</v>
      </c>
      <c r="M29" s="10">
        <v>43186</v>
      </c>
      <c r="N29" s="11" t="str">
        <f>"000034"</f>
        <v>000034</v>
      </c>
      <c r="O29" s="10">
        <v>43413</v>
      </c>
      <c r="P29" s="11" t="str">
        <f>"000070"</f>
        <v>000070</v>
      </c>
      <c r="Q29" s="10">
        <v>43413</v>
      </c>
      <c r="R29" s="11">
        <v>18</v>
      </c>
      <c r="S29" s="11" t="str">
        <f>"007413"</f>
        <v>007413</v>
      </c>
      <c r="T29" s="10">
        <v>43421</v>
      </c>
      <c r="U29" s="14">
        <v>7.9809999999999999</v>
      </c>
      <c r="V29" s="14">
        <v>0.88539999999999996</v>
      </c>
      <c r="W29" s="14">
        <v>7.0956000000000001</v>
      </c>
      <c r="X29" s="11">
        <v>270</v>
      </c>
      <c r="Y29" s="10">
        <v>43424</v>
      </c>
      <c r="Z29" s="11">
        <v>8277644978</v>
      </c>
      <c r="AA29" s="12" t="s">
        <v>144</v>
      </c>
      <c r="AB29" s="11" t="s">
        <v>51</v>
      </c>
      <c r="AC29" s="12" t="s">
        <v>52</v>
      </c>
      <c r="AD29" s="11" t="s">
        <v>44</v>
      </c>
      <c r="AE29" s="12" t="s">
        <v>45</v>
      </c>
      <c r="AF29" s="14">
        <f t="shared" si="0"/>
        <v>7.9809999999999992E-2</v>
      </c>
      <c r="AG29" s="11" t="s">
        <v>46</v>
      </c>
    </row>
    <row r="30" spans="1:33" x14ac:dyDescent="0.2">
      <c r="A30" s="8">
        <v>7396</v>
      </c>
      <c r="B30" s="9" t="s">
        <v>135</v>
      </c>
      <c r="C30" s="10">
        <v>43427</v>
      </c>
      <c r="D30" s="11">
        <v>153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145</v>
      </c>
      <c r="J30" s="12" t="s">
        <v>146</v>
      </c>
      <c r="K30" s="13" t="s">
        <v>49</v>
      </c>
      <c r="L30" s="11" t="str">
        <f>"000094"</f>
        <v>000094</v>
      </c>
      <c r="M30" s="10">
        <v>43041</v>
      </c>
      <c r="N30" s="11" t="str">
        <f>"000033"</f>
        <v>000033</v>
      </c>
      <c r="O30" s="10">
        <v>43413</v>
      </c>
      <c r="P30" s="11" t="str">
        <f>"000069"</f>
        <v>000069</v>
      </c>
      <c r="Q30" s="10">
        <v>43413</v>
      </c>
      <c r="R30" s="11">
        <v>17</v>
      </c>
      <c r="S30" s="11" t="str">
        <f>"007534"</f>
        <v>007534</v>
      </c>
      <c r="T30" s="10">
        <v>43426</v>
      </c>
      <c r="U30" s="14">
        <v>12.417999999999999</v>
      </c>
      <c r="V30" s="14">
        <v>0.51300000000000001</v>
      </c>
      <c r="W30" s="14">
        <v>11.904999999999999</v>
      </c>
      <c r="X30" s="11">
        <v>272</v>
      </c>
      <c r="Y30" s="10">
        <v>43427</v>
      </c>
      <c r="Z30" s="11">
        <v>9845999123</v>
      </c>
      <c r="AA30" s="12" t="s">
        <v>50</v>
      </c>
      <c r="AB30" s="11" t="s">
        <v>86</v>
      </c>
      <c r="AC30" s="12" t="s">
        <v>87</v>
      </c>
      <c r="AD30" s="11" t="s">
        <v>44</v>
      </c>
      <c r="AE30" s="12" t="s">
        <v>45</v>
      </c>
      <c r="AF30" s="14">
        <f t="shared" si="0"/>
        <v>0.12418</v>
      </c>
      <c r="AG30" s="11" t="s">
        <v>46</v>
      </c>
    </row>
    <row r="31" spans="1:33" x14ac:dyDescent="0.2">
      <c r="A31" s="8">
        <v>7397</v>
      </c>
      <c r="B31" s="9" t="s">
        <v>135</v>
      </c>
      <c r="C31" s="10">
        <v>43427</v>
      </c>
      <c r="D31" s="11">
        <v>153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147</v>
      </c>
      <c r="J31" s="12" t="s">
        <v>148</v>
      </c>
      <c r="K31" s="13" t="s">
        <v>149</v>
      </c>
      <c r="L31" s="11" t="str">
        <f>"000138"</f>
        <v>000138</v>
      </c>
      <c r="M31" s="10">
        <v>43298</v>
      </c>
      <c r="N31" s="11" t="str">
        <f>"000035"</f>
        <v>000035</v>
      </c>
      <c r="O31" s="10">
        <v>43413</v>
      </c>
      <c r="P31" s="11" t="str">
        <f>"000071"</f>
        <v>000071</v>
      </c>
      <c r="Q31" s="10">
        <v>43413</v>
      </c>
      <c r="R31" s="11">
        <v>17</v>
      </c>
      <c r="S31" s="11" t="str">
        <f>"007538"</f>
        <v>007538</v>
      </c>
      <c r="T31" s="10">
        <v>43426</v>
      </c>
      <c r="U31" s="14">
        <v>7.2460000000000004</v>
      </c>
      <c r="V31" s="14">
        <v>0.36980000000000002</v>
      </c>
      <c r="W31" s="14">
        <v>6.8761999999999999</v>
      </c>
      <c r="X31" s="11">
        <v>272</v>
      </c>
      <c r="Y31" s="10">
        <v>43427</v>
      </c>
      <c r="Z31" s="11">
        <v>9945999770</v>
      </c>
      <c r="AA31" s="12" t="s">
        <v>150</v>
      </c>
      <c r="AB31" s="11" t="s">
        <v>86</v>
      </c>
      <c r="AC31" s="12" t="s">
        <v>87</v>
      </c>
      <c r="AD31" s="11" t="s">
        <v>44</v>
      </c>
      <c r="AE31" s="12" t="s">
        <v>45</v>
      </c>
      <c r="AF31" s="14">
        <f t="shared" si="0"/>
        <v>7.2460000000000011E-2</v>
      </c>
      <c r="AG31" s="11" t="s">
        <v>151</v>
      </c>
    </row>
    <row r="32" spans="1:33" x14ac:dyDescent="0.2">
      <c r="A32" s="8">
        <v>7398</v>
      </c>
      <c r="B32" s="9" t="s">
        <v>135</v>
      </c>
      <c r="C32" s="10">
        <v>43427</v>
      </c>
      <c r="D32" s="11">
        <v>153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152</v>
      </c>
      <c r="J32" s="12" t="s">
        <v>153</v>
      </c>
      <c r="K32" s="13" t="s">
        <v>109</v>
      </c>
      <c r="L32" s="11" t="str">
        <f>"000151"</f>
        <v>000151</v>
      </c>
      <c r="M32" s="10">
        <v>43186</v>
      </c>
      <c r="N32" s="11" t="str">
        <f>"000036"</f>
        <v>000036</v>
      </c>
      <c r="O32" s="10">
        <v>43413</v>
      </c>
      <c r="P32" s="11" t="str">
        <f>"000072"</f>
        <v>000072</v>
      </c>
      <c r="Q32" s="10">
        <v>43413</v>
      </c>
      <c r="R32" s="11">
        <v>17</v>
      </c>
      <c r="S32" s="11" t="str">
        <f>"007539"</f>
        <v>007539</v>
      </c>
      <c r="T32" s="10">
        <v>43426</v>
      </c>
      <c r="U32" s="14">
        <v>1.2310000000000001</v>
      </c>
      <c r="V32" s="14">
        <v>3.39E-2</v>
      </c>
      <c r="W32" s="14">
        <v>1.1971000000000001</v>
      </c>
      <c r="X32" s="11">
        <v>272</v>
      </c>
      <c r="Y32" s="10">
        <v>43427</v>
      </c>
      <c r="Z32" s="11">
        <v>8277644978</v>
      </c>
      <c r="AA32" s="12" t="s">
        <v>154</v>
      </c>
      <c r="AB32" s="11" t="s">
        <v>86</v>
      </c>
      <c r="AC32" s="12" t="s">
        <v>87</v>
      </c>
      <c r="AD32" s="11" t="s">
        <v>44</v>
      </c>
      <c r="AE32" s="12" t="s">
        <v>45</v>
      </c>
      <c r="AF32" s="14">
        <f t="shared" si="0"/>
        <v>1.2310000000000001E-2</v>
      </c>
      <c r="AG32" s="11" t="s">
        <v>46</v>
      </c>
    </row>
    <row r="33" spans="1:33" x14ac:dyDescent="0.2">
      <c r="A33" s="8">
        <v>7399</v>
      </c>
      <c r="B33" s="9" t="s">
        <v>135</v>
      </c>
      <c r="C33" s="10">
        <v>43427</v>
      </c>
      <c r="D33" s="11">
        <v>153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155</v>
      </c>
      <c r="J33" s="12" t="s">
        <v>156</v>
      </c>
      <c r="K33" s="13" t="s">
        <v>115</v>
      </c>
      <c r="L33" s="11" t="str">
        <f>"000156"</f>
        <v>000156</v>
      </c>
      <c r="M33" s="10">
        <v>43189</v>
      </c>
      <c r="N33" s="11" t="str">
        <f>"000030"</f>
        <v>000030</v>
      </c>
      <c r="O33" s="10">
        <v>43413</v>
      </c>
      <c r="P33" s="11" t="str">
        <f>"000066"</f>
        <v>000066</v>
      </c>
      <c r="Q33" s="10">
        <v>43413</v>
      </c>
      <c r="R33" s="11">
        <v>17</v>
      </c>
      <c r="S33" s="11" t="str">
        <f>"007541"</f>
        <v>007541</v>
      </c>
      <c r="T33" s="10">
        <v>43426</v>
      </c>
      <c r="U33" s="14">
        <v>99.823999999999998</v>
      </c>
      <c r="V33" s="14">
        <v>4.4470999999999998</v>
      </c>
      <c r="W33" s="14">
        <v>95.376900000000006</v>
      </c>
      <c r="X33" s="11">
        <v>272</v>
      </c>
      <c r="Y33" s="10">
        <v>43427</v>
      </c>
      <c r="Z33" s="11">
        <v>9001333577</v>
      </c>
      <c r="AA33" s="12" t="s">
        <v>157</v>
      </c>
      <c r="AB33" s="11" t="s">
        <v>86</v>
      </c>
      <c r="AC33" s="12" t="s">
        <v>87</v>
      </c>
      <c r="AD33" s="11" t="s">
        <v>44</v>
      </c>
      <c r="AE33" s="12" t="s">
        <v>45</v>
      </c>
      <c r="AF33" s="14">
        <f t="shared" si="0"/>
        <v>0.99824000000000002</v>
      </c>
      <c r="AG33" s="11" t="s">
        <v>46</v>
      </c>
    </row>
    <row r="34" spans="1:33" x14ac:dyDescent="0.2">
      <c r="A34" s="8">
        <v>8374</v>
      </c>
      <c r="B34" s="9" t="s">
        <v>158</v>
      </c>
      <c r="C34" s="10">
        <v>43468</v>
      </c>
      <c r="D34" s="11">
        <v>153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159</v>
      </c>
      <c r="J34" s="12" t="s">
        <v>160</v>
      </c>
      <c r="K34" s="13" t="s">
        <v>40</v>
      </c>
      <c r="L34" s="11" t="str">
        <f>"000144"</f>
        <v>000144</v>
      </c>
      <c r="M34" s="10">
        <v>43335</v>
      </c>
      <c r="N34" s="11" t="str">
        <f>"000047"</f>
        <v>000047</v>
      </c>
      <c r="O34" s="10">
        <v>43434</v>
      </c>
      <c r="P34" s="11" t="str">
        <f>"000088"</f>
        <v>000088</v>
      </c>
      <c r="Q34" s="10">
        <v>43441</v>
      </c>
      <c r="R34" s="11"/>
      <c r="S34" s="11" t="str">
        <f>"008324"</f>
        <v>008324</v>
      </c>
      <c r="T34" s="10">
        <v>43462</v>
      </c>
      <c r="U34" s="14">
        <v>38.161999999999999</v>
      </c>
      <c r="V34" s="14">
        <v>1.6237999999999999</v>
      </c>
      <c r="W34" s="14">
        <v>36.538200000000003</v>
      </c>
      <c r="X34" s="11">
        <v>313</v>
      </c>
      <c r="Y34" s="10">
        <v>43468</v>
      </c>
      <c r="Z34" s="11">
        <v>9880364596</v>
      </c>
      <c r="AA34" s="12" t="s">
        <v>161</v>
      </c>
      <c r="AB34" s="11" t="s">
        <v>51</v>
      </c>
      <c r="AC34" s="12" t="s">
        <v>52</v>
      </c>
      <c r="AD34" s="11" t="s">
        <v>44</v>
      </c>
      <c r="AE34" s="12" t="s">
        <v>45</v>
      </c>
      <c r="AF34" s="14">
        <f t="shared" si="0"/>
        <v>0.38162000000000001</v>
      </c>
      <c r="AG34" s="11" t="s">
        <v>151</v>
      </c>
    </row>
    <row r="35" spans="1:33" x14ac:dyDescent="0.2">
      <c r="A35" s="8">
        <v>8958</v>
      </c>
      <c r="B35" s="9" t="s">
        <v>162</v>
      </c>
      <c r="C35" s="10">
        <v>43501</v>
      </c>
      <c r="D35" s="11">
        <v>153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163</v>
      </c>
      <c r="J35" s="12" t="s">
        <v>164</v>
      </c>
      <c r="K35" s="13" t="s">
        <v>115</v>
      </c>
      <c r="L35" s="11" t="str">
        <f>"000159"</f>
        <v>000159</v>
      </c>
      <c r="M35" s="10">
        <v>43189</v>
      </c>
      <c r="N35" s="11" t="str">
        <f>"000051"</f>
        <v>000051</v>
      </c>
      <c r="O35" s="10">
        <v>43466</v>
      </c>
      <c r="P35" s="11" t="str">
        <f>"000093"</f>
        <v>000093</v>
      </c>
      <c r="Q35" s="10">
        <v>43467</v>
      </c>
      <c r="R35" s="11"/>
      <c r="S35" s="11" t="str">
        <f>"009042"</f>
        <v>009042</v>
      </c>
      <c r="T35" s="10">
        <v>43501</v>
      </c>
      <c r="U35" s="14">
        <v>99.465000000000003</v>
      </c>
      <c r="V35" s="14">
        <v>12.097300000000001</v>
      </c>
      <c r="W35" s="14">
        <v>87.367699999999999</v>
      </c>
      <c r="X35" s="11">
        <v>339</v>
      </c>
      <c r="Y35" s="10">
        <v>43501</v>
      </c>
      <c r="Z35" s="11">
        <v>8277644978</v>
      </c>
      <c r="AA35" s="12" t="s">
        <v>100</v>
      </c>
      <c r="AB35" s="11" t="s">
        <v>86</v>
      </c>
      <c r="AC35" s="12" t="s">
        <v>87</v>
      </c>
      <c r="AD35" s="11" t="s">
        <v>44</v>
      </c>
      <c r="AE35" s="12" t="s">
        <v>45</v>
      </c>
      <c r="AF35" s="14">
        <f t="shared" si="0"/>
        <v>0.99465000000000003</v>
      </c>
      <c r="AG35" s="11" t="s">
        <v>46</v>
      </c>
    </row>
    <row r="36" spans="1:33" x14ac:dyDescent="0.2">
      <c r="A36" s="8">
        <v>8961</v>
      </c>
      <c r="B36" s="9" t="s">
        <v>162</v>
      </c>
      <c r="C36" s="10">
        <v>43501</v>
      </c>
      <c r="D36" s="11">
        <v>153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165</v>
      </c>
      <c r="J36" s="12" t="s">
        <v>166</v>
      </c>
      <c r="K36" s="13" t="s">
        <v>49</v>
      </c>
      <c r="L36" s="11" t="str">
        <f>"000087"</f>
        <v>000087</v>
      </c>
      <c r="M36" s="10">
        <v>43372</v>
      </c>
      <c r="N36" s="11" t="str">
        <f>"000127"</f>
        <v>000127</v>
      </c>
      <c r="O36" s="10">
        <v>43372</v>
      </c>
      <c r="P36" s="11" t="str">
        <f>"000125"</f>
        <v>000125</v>
      </c>
      <c r="Q36" s="10">
        <v>43372</v>
      </c>
      <c r="R36" s="11"/>
      <c r="S36" s="11" t="str">
        <f>"009045"</f>
        <v>009045</v>
      </c>
      <c r="T36" s="10">
        <v>43501</v>
      </c>
      <c r="U36" s="14">
        <v>9.7745099999999994</v>
      </c>
      <c r="V36" s="14">
        <v>1.0361</v>
      </c>
      <c r="W36" s="14">
        <v>8.73841</v>
      </c>
      <c r="X36" s="11">
        <v>339</v>
      </c>
      <c r="Y36" s="10">
        <v>43501</v>
      </c>
      <c r="Z36" s="11">
        <v>0</v>
      </c>
      <c r="AA36" s="12" t="s">
        <v>167</v>
      </c>
      <c r="AB36" s="11" t="s">
        <v>168</v>
      </c>
      <c r="AC36" s="12" t="s">
        <v>169</v>
      </c>
      <c r="AD36" s="11" t="s">
        <v>58</v>
      </c>
      <c r="AE36" s="12" t="s">
        <v>59</v>
      </c>
      <c r="AF36" s="14">
        <f t="shared" si="0"/>
        <v>9.7745099999999988E-2</v>
      </c>
      <c r="AG36" s="11" t="s">
        <v>151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2019-06-13T11:58:30Z</dcterms:modified>
</cp:coreProperties>
</file>