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6" i="1" l="1"/>
  <c r="S36" i="1"/>
  <c r="P36" i="1"/>
  <c r="N36" i="1"/>
  <c r="L36" i="1"/>
  <c r="AF35" i="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AF29" i="1"/>
  <c r="S29" i="1"/>
  <c r="P29" i="1"/>
  <c r="N29" i="1"/>
  <c r="L29" i="1"/>
  <c r="AF28" i="1"/>
  <c r="S28" i="1"/>
  <c r="P28" i="1"/>
  <c r="N28" i="1"/>
  <c r="L28" i="1"/>
  <c r="AF27" i="1"/>
  <c r="S27" i="1"/>
  <c r="P27" i="1"/>
  <c r="N27" i="1"/>
  <c r="L27" i="1"/>
  <c r="AF26" i="1"/>
  <c r="S26" i="1"/>
  <c r="P26" i="1"/>
  <c r="N26" i="1"/>
  <c r="L26" i="1"/>
  <c r="AF25" i="1"/>
  <c r="S25" i="1"/>
  <c r="P25" i="1"/>
  <c r="N25" i="1"/>
  <c r="L25" i="1"/>
  <c r="AF24" i="1"/>
  <c r="S24" i="1"/>
  <c r="P24" i="1"/>
  <c r="N24" i="1"/>
  <c r="L24" i="1"/>
  <c r="AF23" i="1"/>
  <c r="S23" i="1"/>
  <c r="P23" i="1"/>
  <c r="N23" i="1"/>
  <c r="L23" i="1"/>
  <c r="AF22" i="1"/>
  <c r="S22" i="1"/>
  <c r="P22" i="1"/>
  <c r="N22" i="1"/>
  <c r="L22" i="1"/>
  <c r="AF21" i="1"/>
  <c r="S21" i="1"/>
  <c r="P21" i="1"/>
  <c r="N21" i="1"/>
  <c r="L21" i="1"/>
  <c r="AF20" i="1"/>
  <c r="S20" i="1"/>
  <c r="P20" i="1"/>
  <c r="N20" i="1"/>
  <c r="L20" i="1"/>
  <c r="AF19" i="1"/>
  <c r="S19" i="1"/>
  <c r="P19" i="1"/>
  <c r="N19" i="1"/>
  <c r="L19" i="1"/>
  <c r="AF18" i="1"/>
  <c r="S18" i="1"/>
  <c r="P18" i="1"/>
  <c r="N18" i="1"/>
  <c r="L18" i="1"/>
  <c r="AF17" i="1"/>
  <c r="S17" i="1"/>
  <c r="P17" i="1"/>
  <c r="N17" i="1"/>
  <c r="L17" i="1"/>
  <c r="AF16"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<sst xmlns="http://schemas.openxmlformats.org/spreadsheetml/2006/main" count="524" uniqueCount="171">
  <si>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</si>
  <si>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</si>
  <si>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</si>
  <si>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</si>
  <si>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</si>
  <si>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</si>
  <si>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</si>
  <si>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</si>
  <si>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</si>
  <si>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</si>
  <si>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</si>
  <si>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</si>
  <si>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</si>
  <si>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</si>
  <si>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</si>
  <si>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</si>
  <si>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</si>
  <si>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</si>
  <si>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</si>
  <si>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</si>
  <si>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</si>
  <si>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</si>
  <si>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</si>
  <si>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</si>
  <si>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</si>
  <si>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</si>
  <si>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</si>
  <si>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</si>
  <si>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</si>
  <si>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</si>
  <si>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</si>
  <si>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</si>
  <si>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</si>
  <si>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May</t>
  </si>
  <si>
    <t>Basavana Gudi</t>
  </si>
  <si>
    <t>South</t>
  </si>
  <si>
    <t>154-16-000006</t>
  </si>
  <si>
    <t>Replacing Execting sira stone by RCC Concrete Slab at DVG Road and Foot path Improvement From Police Station Road to Mallikarjuna Swamy Temple Road in Ward no-154.</t>
  </si>
  <si>
    <t>Footpaths &amp; Walkability</t>
  </si>
  <si>
    <t>Sri. B Shivashankar</t>
  </si>
  <si>
    <t>P1771</t>
  </si>
  <si>
    <t>Zone Works - POW Works</t>
  </si>
  <si>
    <t>ddo420</t>
  </si>
  <si>
    <t xml:space="preserve"> Assistant Executive Engineer Basavanagudi South Zone</t>
  </si>
  <si>
    <t>Pending</t>
  </si>
  <si>
    <t>154-16-000022</t>
  </si>
  <si>
    <t>Annual Electrical maintenance of Buildings coming under Basavanagudi assembly constituency New Ward No 154</t>
  </si>
  <si>
    <t>Other Ward Works</t>
  </si>
  <si>
    <t>M/S Shree Bharathi Electricals</t>
  </si>
  <si>
    <t>P0294</t>
  </si>
  <si>
    <t>M and R to Electrical Inst in BMP Buildings, Schools, M.Homes, Community Halls, Markets and Others</t>
  </si>
  <si>
    <t>ddo258</t>
  </si>
  <si>
    <t xml:space="preserve"> Executive Engineer Electrical South Zone</t>
  </si>
  <si>
    <t>June</t>
  </si>
  <si>
    <t>154-17-000021</t>
  </si>
  <si>
    <t>Sinking, Energizing and Commissioning including Pipeline and erreection of New Borewell in Ward No-154 Basavanagudi.</t>
  </si>
  <si>
    <t>Water &amp; Sanitary</t>
  </si>
  <si>
    <t>Sri.Kumara C</t>
  </si>
  <si>
    <t>154-16-000011</t>
  </si>
  <si>
    <t>Reserve Amount for Emergency Wrok in Ward No-154.</t>
  </si>
  <si>
    <t>Vijay kumar. H (Vijay Enterprises)</t>
  </si>
  <si>
    <t>154-17-000029</t>
  </si>
  <si>
    <t>Providing drinking water works in Ward No 154 in Basavangudi Division</t>
  </si>
  <si>
    <t>Drinking Water</t>
  </si>
  <si>
    <t>KRIDL</t>
  </si>
  <si>
    <t>P3110</t>
  </si>
  <si>
    <t>14th Finance Commission Grant Works</t>
  </si>
  <si>
    <t>Current</t>
  </si>
  <si>
    <t>July</t>
  </si>
  <si>
    <t>154-17-000004</t>
  </si>
  <si>
    <t>Improvements to Shyamanna park at Basavanagudi in ward no 154</t>
  </si>
  <si>
    <t>Trees, Parks &amp; Playgrounds</t>
  </si>
  <si>
    <t>P0190</t>
  </si>
  <si>
    <t>Works sanctioned by Hon Mayor</t>
  </si>
  <si>
    <t>ddo422</t>
  </si>
  <si>
    <t xml:space="preserve"> Executive Engineer Project - South Zone</t>
  </si>
  <si>
    <t>154-17-000003</t>
  </si>
  <si>
    <t>Improvements to Bugal rock park at Basavanagudi in ward no 154</t>
  </si>
  <si>
    <t>154-17-000001</t>
  </si>
  <si>
    <t>Improvements and Providing S.S. Grills Pathway and Renovation of Foundation in Kahale Bande Park at ward 154</t>
  </si>
  <si>
    <t>16-</t>
  </si>
  <si>
    <t>B.K.Bhaskar</t>
  </si>
  <si>
    <t>154-17-000002</t>
  </si>
  <si>
    <t>Improvements and Developments of parks in ward 154</t>
  </si>
  <si>
    <t>M.S.Maninaidu</t>
  </si>
  <si>
    <t>154-17-000019</t>
  </si>
  <si>
    <t>Pot hole filling at Ward No-154.</t>
  </si>
  <si>
    <t>Roads &amp; Drivablility</t>
  </si>
  <si>
    <t>G. Ashok</t>
  </si>
  <si>
    <t>Spill Over</t>
  </si>
  <si>
    <t>154-16-000002</t>
  </si>
  <si>
    <t>Operation and Maintenance of Street Lighting System in Ward No.154 Package S-13 of South Zone</t>
  </si>
  <si>
    <t>Shree Bharathi Electricals</t>
  </si>
  <si>
    <t>P0300</t>
  </si>
  <si>
    <t>M and R to Street Lights - Replacement of Burnt Bulbs etc. (Package)</t>
  </si>
  <si>
    <t>154-16-000016</t>
  </si>
  <si>
    <t>Asphalting to Kalappa block road Netaji road 9th and 10th cross T.R,Nagar and other roads in ward 154</t>
  </si>
  <si>
    <t>M/s. SAI INFRA CONSULTANTS (SHANKAR SULTANPUR)</t>
  </si>
  <si>
    <t>P3106</t>
  </si>
  <si>
    <t>Nagarothana Works</t>
  </si>
  <si>
    <t>September</t>
  </si>
  <si>
    <t>154-16-000009</t>
  </si>
  <si>
    <t>Engaging Tractor And Labour For Ward Maintanance Work in Ward No-154.</t>
  </si>
  <si>
    <t>Sri.Umapathi</t>
  </si>
  <si>
    <t>154-16-000007</t>
  </si>
  <si>
    <t>Drain Improvements at Javaraiah Garden and other places in Ward No-154.</t>
  </si>
  <si>
    <t>Sri. C Ramachandra</t>
  </si>
  <si>
    <t>154-16-000005</t>
  </si>
  <si>
    <t>Drain and Road Improvements at 5th Cross and other places (Construction cement concrete drain and Road) Bhovi Colony in Ward No-154.</t>
  </si>
  <si>
    <t>Sri. C. Ramakrishna</t>
  </si>
  <si>
    <t>154-17-000028</t>
  </si>
  <si>
    <t>Providing and fixing of LED Street lights in Ward No 154 in Basavangudi Division</t>
  </si>
  <si>
    <t>M/S SMG Elecrtricals (A.C.Ramesh)</t>
  </si>
  <si>
    <t>November</t>
  </si>
  <si>
    <t>154-17-000011</t>
  </si>
  <si>
    <t>Drain Improvements at Gangamma Temple Main Road Eastern Side From 6th Cross Ashok Nagar to 6th Cross Javaraiah Garden and other places in Ward No-154.</t>
  </si>
  <si>
    <t>B.P.S Babu</t>
  </si>
  <si>
    <t>December</t>
  </si>
  <si>
    <t>154-13-000021</t>
  </si>
  <si>
    <t>Replacing of existing sira stones by RCC cement slabs, balance portion of DVG road and footpath improvement at police station road in ward No. 154</t>
  </si>
  <si>
    <t>Sri. C Ramakrishna</t>
  </si>
  <si>
    <t>P2434</t>
  </si>
  <si>
    <t>Development works for Bangalore City</t>
  </si>
  <si>
    <t>154-17-000015</t>
  </si>
  <si>
    <t>Providing and Construction of Drinking Water (R.O.Plants) in Ward No-154.</t>
  </si>
  <si>
    <t>Sri.K Kodanda Babu</t>
  </si>
  <si>
    <t>154-17-000045</t>
  </si>
  <si>
    <t>Improvements works to Tatasilk Farm Park and Other Parks in ward no 154</t>
  </si>
  <si>
    <t>B K BHASKAR (Sree Bharathi Electricals)</t>
  </si>
  <si>
    <t>154-16-000012</t>
  </si>
  <si>
    <t>Sri.Nataraj</t>
  </si>
  <si>
    <t>P1802</t>
  </si>
  <si>
    <t>Water Supply New Areas</t>
  </si>
  <si>
    <t>154-11-000032</t>
  </si>
  <si>
    <t>Construction of proposed multipurpose hall and Shuttle court over the existing Rangamandira in W.N 154</t>
  </si>
  <si>
    <t>P.Gopal  Krishna</t>
  </si>
  <si>
    <t>P2254</t>
  </si>
  <si>
    <t>Special Development work in ward nos 29 43 50 142 154 178 (Rs 300lakhs per ward)</t>
  </si>
  <si>
    <t>January</t>
  </si>
  <si>
    <t>154-17-000008</t>
  </si>
  <si>
    <t>Construction of ward office on west side of Multipurpose building in Basavanagudi ward no 154</t>
  </si>
  <si>
    <t>Public Amenities</t>
  </si>
  <si>
    <t>P. Gopal Krishna</t>
  </si>
  <si>
    <t>P3120</t>
  </si>
  <si>
    <t>Developmental works at ward 47, 57, 63, 66, 68 , 154 and 171, 33, 9,  (Rs.2 Cr each)</t>
  </si>
  <si>
    <t>154-16-000019</t>
  </si>
  <si>
    <t>Asphalting to bad reaches in T.R. nagar and C.T.bed areas in ward no-154</t>
  </si>
  <si>
    <t>Sri. A Balarama Reddy</t>
  </si>
  <si>
    <t>154-16-000015</t>
  </si>
  <si>
    <t>Asphalting to Damaged roads in ward no-154</t>
  </si>
  <si>
    <t>154-16-000020</t>
  </si>
  <si>
    <t>Restoration of road cur portions by BWSSB in ward no-154</t>
  </si>
  <si>
    <t>154-16-000018</t>
  </si>
  <si>
    <t>Asphalting to Nagasandra main road from Nagasandra circle to old post office road in ward no-154</t>
  </si>
  <si>
    <t>154-16-000017</t>
  </si>
  <si>
    <t>Asphalting to DVG road from bugal rock road to Nagasandra circle in ward no-154</t>
  </si>
  <si>
    <t>154-17-000031</t>
  </si>
  <si>
    <t>Providing CC Camera at Garbage Block Spots in ward no 154</t>
  </si>
  <si>
    <t>Crime &amp; Safety</t>
  </si>
  <si>
    <t>Executive Engineer -3 KRIDL</t>
  </si>
  <si>
    <t>February</t>
  </si>
  <si>
    <t>154-18-000011</t>
  </si>
  <si>
    <t>Providing and construction of Roof Covering and other works to Indoor Shuttle Court Building at Multipurpose Building at N R Colony in ward no 154</t>
  </si>
  <si>
    <t>M.S.Mani Naidu</t>
  </si>
  <si>
    <t>P3250</t>
  </si>
  <si>
    <t>Special Development works at ward  Ward No.29 Rs.4 Cr, Ward 103,183,161,174,057,027 Rs.1 Cr each, Ward No.052,050,051,170,169,178 Each ward Rs.50.00 Lakhs, Bengaluru South Constituency Rs.2.00 Cr, Ward No 103,Rs.13.00 Cr, Ward No.171 Rs.20.00 Cr, Ward No.19 Rs.8 Cr. Ward No.104 Rs.5 Cr Each</t>
  </si>
  <si>
    <t>154-17-000030</t>
  </si>
  <si>
    <t>Engagement of Gangman and Hiring of Tractor Tippers for cleaning and Maintenance of road side drains and other cleaning works in works in ward no 154</t>
  </si>
  <si>
    <t>Sanjay N.B</t>
  </si>
  <si>
    <t>154-17-000007</t>
  </si>
  <si>
    <t>Construction of Indoor Shuttle court in Basavanagudi ward no 154</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</si>
</sst>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6"/>
  <sheetViews>
    <sheetView tabSelected="1" workbookViewId="0">
      <pane ySplit="1" topLeftCell="A2" activePane="bottomLeft" state="frozen"/>
      <selection activeCell="H1" sqref="H1"/>
      <selection pane="bottomLeft" activeCell="A2" sqref="A2:XFD36"/>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1242</v>
      </c>
      <c r="B2" s="9" t="s">
        <v>33</v>
      </c>
      <c r="C2" s="10">
        <v>43238</v>
      </c>
      <c r="D2" s="11">
        <v>154</v>
      </c>
      <c r="E2" s="12" t="s">
        <v>34</v>
      </c>
      <c r="F2" s="12" t="s">
        <v>34</v>
      </c>
      <c r="G2" s="12" t="s">
        <v>34</v>
      </c>
      <c r="H2" s="12" t="s">
        <v>35</v>
      </c>
      <c r="I2" s="11" t="s">
        <v>36</v>
      </c>
      <c r="J2" s="12" t="s">
        <v>37</v>
      </c>
      <c r="K2" s="13" t="s">
        <v>38</v>
      </c>
      <c r="L2" s="11" t="str">
        <f>"000010"</f>
        <v>000010</v>
      </c>
      <c r="M2" s="10">
        <v>42528</v>
      </c>
      <c r="N2" s="11" t="str">
        <f>"000091"</f>
        <v>000091</v>
      </c>
      <c r="O2" s="10">
        <v>42611</v>
      </c>
      <c r="P2" s="11" t="str">
        <f>"000208"</f>
        <v>000208</v>
      </c>
      <c r="Q2" s="10">
        <v>42613</v>
      </c>
      <c r="R2" s="11">
        <v>16</v>
      </c>
      <c r="S2" s="11" t="str">
        <f>"001478"</f>
        <v>001478</v>
      </c>
      <c r="T2" s="10">
        <v>43236</v>
      </c>
      <c r="U2" s="14">
        <v>19.594529999999999</v>
      </c>
      <c r="V2" s="14">
        <v>2.6716000000000002</v>
      </c>
      <c r="W2" s="14">
        <v>16.922930000000001</v>
      </c>
      <c r="X2" s="11">
        <v>52</v>
      </c>
      <c r="Y2" s="10">
        <v>43238</v>
      </c>
      <c r="Z2" s="11">
        <v>9448493639</v>
      </c>
      <c r="AA2" s="12" t="s">
        <v>39</v>
      </c>
      <c r="AB2" s="11" t="s">
        <v>40</v>
      </c>
      <c r="AC2" s="12" t="s">
        <v>41</v>
      </c>
      <c r="AD2" s="11" t="s">
        <v>42</v>
      </c>
      <c r="AE2" s="12" t="s">
        <v>43</v>
      </c>
      <c r="AF2" s="14">
        <v>0.19594529999999999</v>
      </c>
      <c r="AG2" s="11" t="s">
        <v>44</v>
      </c>
    </row>
    <row r="3" spans="1:33" x14ac:dyDescent="0.2">
      <c r="A3" s="8">
        <v>1453</v>
      </c>
      <c r="B3" s="9" t="s">
        <v>33</v>
      </c>
      <c r="C3" s="10">
        <v>43242</v>
      </c>
      <c r="D3" s="11">
        <v>154</v>
      </c>
      <c r="E3" s="12" t="s">
        <v>34</v>
      </c>
      <c r="F3" s="12" t="s">
        <v>34</v>
      </c>
      <c r="G3" s="12" t="s">
        <v>34</v>
      </c>
      <c r="H3" s="12" t="s">
        <v>35</v>
      </c>
      <c r="I3" s="11" t="s">
        <v>45</v>
      </c>
      <c r="J3" s="12" t="s">
        <v>46</v>
      </c>
      <c r="K3" s="13" t="s">
        <v>47</v>
      </c>
      <c r="L3" s="11" t="str">
        <f>"000003"</f>
        <v>000003</v>
      </c>
      <c r="M3" s="10">
        <v>42461</v>
      </c>
      <c r="N3" s="11" t="str">
        <f>"000035"</f>
        <v>000035</v>
      </c>
      <c r="O3" s="10">
        <v>42914</v>
      </c>
      <c r="P3" s="11" t="str">
        <f>"000071"</f>
        <v>000071</v>
      </c>
      <c r="Q3" s="10">
        <v>42914</v>
      </c>
      <c r="R3" s="11">
        <v>16</v>
      </c>
      <c r="S3" s="11" t="str">
        <f>""</f>
        <v/>
      </c>
      <c r="T3" s="10"/>
      <c r="U3" s="14">
        <v>1.07602</v>
      </c>
      <c r="V3" s="14">
        <v>7.639E-2</v>
      </c>
      <c r="W3" s="14">
        <v>0.99963000000000002</v>
      </c>
      <c r="X3" s="11">
        <v>59</v>
      </c>
      <c r="Y3" s="10">
        <v>43242</v>
      </c>
      <c r="Z3" s="11">
        <v>9686681397</v>
      </c>
      <c r="AA3" s="12" t="s">
        <v>48</v>
      </c>
      <c r="AB3" s="11" t="s">
        <v>49</v>
      </c>
      <c r="AC3" s="12" t="s">
        <v>50</v>
      </c>
      <c r="AD3" s="11" t="s">
        <v>51</v>
      </c>
      <c r="AE3" s="12" t="s">
        <v>52</v>
      </c>
      <c r="AF3" s="14">
        <v>1.0760199999999999E-2</v>
      </c>
      <c r="AG3" s="11" t="s">
        <v>44</v>
      </c>
    </row>
    <row r="4" spans="1:33" x14ac:dyDescent="0.2">
      <c r="A4" s="8">
        <v>1685</v>
      </c>
      <c r="B4" s="9" t="s">
        <v>53</v>
      </c>
      <c r="C4" s="10">
        <v>43252</v>
      </c>
      <c r="D4" s="11">
        <v>154</v>
      </c>
      <c r="E4" s="12" t="s">
        <v>34</v>
      </c>
      <c r="F4" s="12" t="s">
        <v>34</v>
      </c>
      <c r="G4" s="12" t="s">
        <v>34</v>
      </c>
      <c r="H4" s="12" t="s">
        <v>35</v>
      </c>
      <c r="I4" s="11" t="s">
        <v>54</v>
      </c>
      <c r="J4" s="12" t="s">
        <v>55</v>
      </c>
      <c r="K4" s="13" t="s">
        <v>56</v>
      </c>
      <c r="L4" s="11" t="str">
        <f>"000076"</f>
        <v>000076</v>
      </c>
      <c r="M4" s="10">
        <v>42822</v>
      </c>
      <c r="N4" s="11" t="str">
        <f>"000032"</f>
        <v>000032</v>
      </c>
      <c r="O4" s="10">
        <v>42886</v>
      </c>
      <c r="P4" s="11" t="str">
        <f>"000057"</f>
        <v>000057</v>
      </c>
      <c r="Q4" s="10">
        <v>42886</v>
      </c>
      <c r="R4" s="11">
        <v>17</v>
      </c>
      <c r="S4" s="11" t="str">
        <f>"001967"</f>
        <v>001967</v>
      </c>
      <c r="T4" s="10">
        <v>43246</v>
      </c>
      <c r="U4" s="14">
        <v>4.43</v>
      </c>
      <c r="V4" s="14">
        <v>0.2717</v>
      </c>
      <c r="W4" s="14">
        <v>4.1582999999999997</v>
      </c>
      <c r="X4" s="11">
        <v>64</v>
      </c>
      <c r="Y4" s="10">
        <v>43252</v>
      </c>
      <c r="Z4" s="11">
        <v>9845235453</v>
      </c>
      <c r="AA4" s="12" t="s">
        <v>57</v>
      </c>
      <c r="AB4" s="11" t="s">
        <v>40</v>
      </c>
      <c r="AC4" s="12" t="s">
        <v>41</v>
      </c>
      <c r="AD4" s="11" t="s">
        <v>42</v>
      </c>
      <c r="AE4" s="12" t="s">
        <v>43</v>
      </c>
      <c r="AF4" s="14">
        <v>4.4299999999999999E-2</v>
      </c>
      <c r="AG4" s="11" t="s">
        <v>44</v>
      </c>
    </row>
    <row r="5" spans="1:33" x14ac:dyDescent="0.2">
      <c r="A5" s="8">
        <v>2052</v>
      </c>
      <c r="B5" s="9" t="s">
        <v>53</v>
      </c>
      <c r="C5" s="10">
        <v>43262</v>
      </c>
      <c r="D5" s="11">
        <v>154</v>
      </c>
      <c r="E5" s="12" t="s">
        <v>34</v>
      </c>
      <c r="F5" s="12" t="s">
        <v>34</v>
      </c>
      <c r="G5" s="12" t="s">
        <v>34</v>
      </c>
      <c r="H5" s="12" t="s">
        <v>35</v>
      </c>
      <c r="I5" s="11" t="s">
        <v>58</v>
      </c>
      <c r="J5" s="12" t="s">
        <v>59</v>
      </c>
      <c r="K5" s="13" t="s">
        <v>47</v>
      </c>
      <c r="L5" s="11" t="str">
        <f>"000016"</f>
        <v>000016</v>
      </c>
      <c r="M5" s="10">
        <v>42559</v>
      </c>
      <c r="N5" s="11" t="str">
        <f>"000101"</f>
        <v>000101</v>
      </c>
      <c r="O5" s="10">
        <v>42628</v>
      </c>
      <c r="P5" s="11" t="str">
        <f>"000224"</f>
        <v>000224</v>
      </c>
      <c r="Q5" s="10">
        <v>42628</v>
      </c>
      <c r="R5" s="11">
        <v>16</v>
      </c>
      <c r="S5" s="11" t="str">
        <f>"002284"</f>
        <v>002284</v>
      </c>
      <c r="T5" s="10">
        <v>43258</v>
      </c>
      <c r="U5" s="14">
        <v>5.1879999999999997</v>
      </c>
      <c r="V5" s="14">
        <v>0.65569999999999995</v>
      </c>
      <c r="W5" s="14">
        <v>4.5323000000000002</v>
      </c>
      <c r="X5" s="11">
        <v>80</v>
      </c>
      <c r="Y5" s="10">
        <v>43262</v>
      </c>
      <c r="Z5" s="11">
        <v>9945055566</v>
      </c>
      <c r="AA5" s="12" t="s">
        <v>60</v>
      </c>
      <c r="AB5" s="11" t="s">
        <v>40</v>
      </c>
      <c r="AC5" s="12" t="s">
        <v>41</v>
      </c>
      <c r="AD5" s="11" t="s">
        <v>42</v>
      </c>
      <c r="AE5" s="12" t="s">
        <v>43</v>
      </c>
      <c r="AF5" s="14">
        <v>5.1879999999999996E-2</v>
      </c>
      <c r="AG5" s="11" t="s">
        <v>44</v>
      </c>
    </row>
    <row r="6" spans="1:33" x14ac:dyDescent="0.2">
      <c r="A6" s="8">
        <v>2153</v>
      </c>
      <c r="B6" s="9" t="s">
        <v>53</v>
      </c>
      <c r="C6" s="10">
        <v>43265</v>
      </c>
      <c r="D6" s="11">
        <v>154</v>
      </c>
      <c r="E6" s="12" t="s">
        <v>34</v>
      </c>
      <c r="F6" s="12" t="s">
        <v>34</v>
      </c>
      <c r="G6" s="12" t="s">
        <v>34</v>
      </c>
      <c r="H6" s="12" t="s">
        <v>35</v>
      </c>
      <c r="I6" s="11" t="s">
        <v>61</v>
      </c>
      <c r="J6" s="12" t="s">
        <v>62</v>
      </c>
      <c r="K6" s="13" t="s">
        <v>63</v>
      </c>
      <c r="L6" s="11" t="str">
        <f>"000037"</f>
        <v>000037</v>
      </c>
      <c r="M6" s="10">
        <v>43191</v>
      </c>
      <c r="N6" s="11" t="str">
        <f>"000003"</f>
        <v>000003</v>
      </c>
      <c r="O6" s="10">
        <v>43220</v>
      </c>
      <c r="P6" s="11" t="str">
        <f>"000004"</f>
        <v>000004</v>
      </c>
      <c r="Q6" s="10">
        <v>43222</v>
      </c>
      <c r="R6" s="11">
        <v>17</v>
      </c>
      <c r="S6" s="11" t="str">
        <f>"002438"</f>
        <v>002438</v>
      </c>
      <c r="T6" s="10">
        <v>43263</v>
      </c>
      <c r="U6" s="14">
        <v>12.84</v>
      </c>
      <c r="V6" s="14">
        <v>1.4964999999999999</v>
      </c>
      <c r="W6" s="14">
        <v>11.343500000000001</v>
      </c>
      <c r="X6" s="11">
        <v>84</v>
      </c>
      <c r="Y6" s="10">
        <v>43265</v>
      </c>
      <c r="Z6" s="11">
        <v>9886197871</v>
      </c>
      <c r="AA6" s="12" t="s">
        <v>64</v>
      </c>
      <c r="AB6" s="11" t="s">
        <v>65</v>
      </c>
      <c r="AC6" s="12" t="s">
        <v>66</v>
      </c>
      <c r="AD6" s="11" t="s">
        <v>42</v>
      </c>
      <c r="AE6" s="12" t="s">
        <v>43</v>
      </c>
      <c r="AF6" s="14">
        <v>0.12839999999999999</v>
      </c>
      <c r="AG6" s="11" t="s">
        <v>67</v>
      </c>
    </row>
    <row r="7" spans="1:33" x14ac:dyDescent="0.2">
      <c r="A7" s="8">
        <v>2919</v>
      </c>
      <c r="B7" s="9" t="s">
        <v>68</v>
      </c>
      <c r="C7" s="10">
        <v>43283</v>
      </c>
      <c r="D7" s="11">
        <v>154</v>
      </c>
      <c r="E7" s="12" t="s">
        <v>34</v>
      </c>
      <c r="F7" s="12" t="s">
        <v>34</v>
      </c>
      <c r="G7" s="12" t="s">
        <v>34</v>
      </c>
      <c r="H7" s="12" t="s">
        <v>35</v>
      </c>
      <c r="I7" s="11" t="s">
        <v>69</v>
      </c>
      <c r="J7" s="12" t="s">
        <v>70</v>
      </c>
      <c r="K7" s="13" t="s">
        <v>71</v>
      </c>
      <c r="L7" s="11" t="str">
        <f>"000069"</f>
        <v>000069</v>
      </c>
      <c r="M7" s="10">
        <v>42619</v>
      </c>
      <c r="N7" s="11" t="str">
        <f>"221"</f>
        <v>221</v>
      </c>
      <c r="O7" s="10">
        <v>16</v>
      </c>
      <c r="P7" s="11" t="str">
        <f>"011"</f>
        <v>011</v>
      </c>
      <c r="Q7" s="10">
        <v>16</v>
      </c>
      <c r="R7" s="11">
        <v>17</v>
      </c>
      <c r="S7" s="11" t="str">
        <f>"002953"</f>
        <v>002953</v>
      </c>
      <c r="T7" s="10">
        <v>43276</v>
      </c>
      <c r="U7" s="14">
        <v>29.474350000000001</v>
      </c>
      <c r="V7" s="14">
        <v>4.4055600000000004</v>
      </c>
      <c r="W7" s="14">
        <v>25.06879</v>
      </c>
      <c r="X7" s="11">
        <v>108</v>
      </c>
      <c r="Y7" s="10">
        <v>43283</v>
      </c>
      <c r="Z7" s="11">
        <v>9481784257</v>
      </c>
      <c r="AA7" s="12" t="s">
        <v>64</v>
      </c>
      <c r="AB7" s="11" t="s">
        <v>72</v>
      </c>
      <c r="AC7" s="12" t="s">
        <v>73</v>
      </c>
      <c r="AD7" s="11" t="s">
        <v>74</v>
      </c>
      <c r="AE7" s="12" t="s">
        <v>75</v>
      </c>
      <c r="AF7" s="14">
        <v>0.29474349999999999</v>
      </c>
      <c r="AG7" s="11" t="s">
        <v>44</v>
      </c>
    </row>
    <row r="8" spans="1:33" x14ac:dyDescent="0.2">
      <c r="A8" s="8">
        <v>2920</v>
      </c>
      <c r="B8" s="9" t="s">
        <v>68</v>
      </c>
      <c r="C8" s="10">
        <v>43283</v>
      </c>
      <c r="D8" s="11">
        <v>154</v>
      </c>
      <c r="E8" s="12" t="s">
        <v>34</v>
      </c>
      <c r="F8" s="12" t="s">
        <v>34</v>
      </c>
      <c r="G8" s="12" t="s">
        <v>34</v>
      </c>
      <c r="H8" s="12" t="s">
        <v>35</v>
      </c>
      <c r="I8" s="11" t="s">
        <v>76</v>
      </c>
      <c r="J8" s="12" t="s">
        <v>77</v>
      </c>
      <c r="K8" s="13" t="s">
        <v>71</v>
      </c>
      <c r="L8" s="11" t="str">
        <f>"000070"</f>
        <v>000070</v>
      </c>
      <c r="M8" s="10">
        <v>42619</v>
      </c>
      <c r="N8" s="11" t="str">
        <f>"222"</f>
        <v>222</v>
      </c>
      <c r="O8" s="10">
        <v>16</v>
      </c>
      <c r="P8" s="11" t="str">
        <f>"012"</f>
        <v>012</v>
      </c>
      <c r="Q8" s="10">
        <v>16</v>
      </c>
      <c r="R8" s="11">
        <v>17</v>
      </c>
      <c r="S8" s="11" t="str">
        <f>"002954"</f>
        <v>002954</v>
      </c>
      <c r="T8" s="10">
        <v>43276</v>
      </c>
      <c r="U8" s="14">
        <v>68.555300000000003</v>
      </c>
      <c r="V8" s="14">
        <v>10.23255</v>
      </c>
      <c r="W8" s="14">
        <v>58.322749999999999</v>
      </c>
      <c r="X8" s="11">
        <v>108</v>
      </c>
      <c r="Y8" s="10">
        <v>43283</v>
      </c>
      <c r="Z8" s="11">
        <v>9448021479</v>
      </c>
      <c r="AA8" s="12" t="s">
        <v>64</v>
      </c>
      <c r="AB8" s="11" t="s">
        <v>72</v>
      </c>
      <c r="AC8" s="12" t="s">
        <v>73</v>
      </c>
      <c r="AD8" s="11" t="s">
        <v>74</v>
      </c>
      <c r="AE8" s="12" t="s">
        <v>75</v>
      </c>
      <c r="AF8" s="14">
        <v>0.68555300000000008</v>
      </c>
      <c r="AG8" s="11" t="s">
        <v>44</v>
      </c>
    </row>
    <row r="9" spans="1:33" x14ac:dyDescent="0.2">
      <c r="A9" s="8">
        <v>2921</v>
      </c>
      <c r="B9" s="9" t="s">
        <v>68</v>
      </c>
      <c r="C9" s="10">
        <v>43283</v>
      </c>
      <c r="D9" s="11">
        <v>154</v>
      </c>
      <c r="E9" s="12" t="s">
        <v>34</v>
      </c>
      <c r="F9" s="12" t="s">
        <v>34</v>
      </c>
      <c r="G9" s="12" t="s">
        <v>34</v>
      </c>
      <c r="H9" s="12" t="s">
        <v>35</v>
      </c>
      <c r="I9" s="11" t="s">
        <v>78</v>
      </c>
      <c r="J9" s="12" t="s">
        <v>79</v>
      </c>
      <c r="K9" s="13" t="s">
        <v>71</v>
      </c>
      <c r="L9" s="11" t="str">
        <f>"000133"</f>
        <v>000133</v>
      </c>
      <c r="M9" s="10">
        <v>42755</v>
      </c>
      <c r="N9" s="11" t="str">
        <f>"234"</f>
        <v>234</v>
      </c>
      <c r="O9" s="10">
        <v>16</v>
      </c>
      <c r="P9" s="11" t="str">
        <f>"07"</f>
        <v>07</v>
      </c>
      <c r="Q9" s="10" t="s">
        <v>80</v>
      </c>
      <c r="R9" s="11">
        <v>17</v>
      </c>
      <c r="S9" s="11" t="str">
        <f>"002964"</f>
        <v>002964</v>
      </c>
      <c r="T9" s="10">
        <v>43276</v>
      </c>
      <c r="U9" s="14">
        <v>45.196570000000001</v>
      </c>
      <c r="V9" s="14">
        <v>5.3064099999999996</v>
      </c>
      <c r="W9" s="14">
        <v>39.890160000000002</v>
      </c>
      <c r="X9" s="11">
        <v>108</v>
      </c>
      <c r="Y9" s="10">
        <v>43283</v>
      </c>
      <c r="Z9" s="11">
        <v>9886197871</v>
      </c>
      <c r="AA9" s="12" t="s">
        <v>81</v>
      </c>
      <c r="AB9" s="11" t="s">
        <v>72</v>
      </c>
      <c r="AC9" s="12" t="s">
        <v>73</v>
      </c>
      <c r="AD9" s="11" t="s">
        <v>74</v>
      </c>
      <c r="AE9" s="12" t="s">
        <v>75</v>
      </c>
      <c r="AF9" s="14">
        <v>0.45196570000000003</v>
      </c>
      <c r="AG9" s="11" t="s">
        <v>44</v>
      </c>
    </row>
    <row r="10" spans="1:33" x14ac:dyDescent="0.2">
      <c r="A10" s="8">
        <v>2922</v>
      </c>
      <c r="B10" s="9" t="s">
        <v>68</v>
      </c>
      <c r="C10" s="10">
        <v>43283</v>
      </c>
      <c r="D10" s="11">
        <v>154</v>
      </c>
      <c r="E10" s="12" t="s">
        <v>34</v>
      </c>
      <c r="F10" s="12" t="s">
        <v>34</v>
      </c>
      <c r="G10" s="12" t="s">
        <v>34</v>
      </c>
      <c r="H10" s="12" t="s">
        <v>35</v>
      </c>
      <c r="I10" s="11" t="s">
        <v>82</v>
      </c>
      <c r="J10" s="12" t="s">
        <v>83</v>
      </c>
      <c r="K10" s="13" t="s">
        <v>71</v>
      </c>
      <c r="L10" s="11" t="str">
        <f>"000137"</f>
        <v>000137</v>
      </c>
      <c r="M10" s="10">
        <v>42779</v>
      </c>
      <c r="N10" s="11" t="str">
        <f>"235"</f>
        <v>235</v>
      </c>
      <c r="O10" s="10">
        <v>16</v>
      </c>
      <c r="P10" s="11" t="str">
        <f>"006"</f>
        <v>006</v>
      </c>
      <c r="Q10" s="10">
        <v>17</v>
      </c>
      <c r="R10" s="11">
        <v>17</v>
      </c>
      <c r="S10" s="11" t="str">
        <f>"002965"</f>
        <v>002965</v>
      </c>
      <c r="T10" s="10">
        <v>43276</v>
      </c>
      <c r="U10" s="14">
        <v>109.12773</v>
      </c>
      <c r="V10" s="14">
        <v>13.193899999999999</v>
      </c>
      <c r="W10" s="14">
        <v>95.93383</v>
      </c>
      <c r="X10" s="11">
        <v>108</v>
      </c>
      <c r="Y10" s="10">
        <v>43283</v>
      </c>
      <c r="Z10" s="11">
        <v>9845290444</v>
      </c>
      <c r="AA10" s="12" t="s">
        <v>84</v>
      </c>
      <c r="AB10" s="11" t="s">
        <v>72</v>
      </c>
      <c r="AC10" s="12" t="s">
        <v>73</v>
      </c>
      <c r="AD10" s="11" t="s">
        <v>74</v>
      </c>
      <c r="AE10" s="12" t="s">
        <v>75</v>
      </c>
      <c r="AF10" s="14">
        <v>1.0912773</v>
      </c>
      <c r="AG10" s="11" t="s">
        <v>44</v>
      </c>
    </row>
    <row r="11" spans="1:33" x14ac:dyDescent="0.2">
      <c r="A11" s="8">
        <v>2923</v>
      </c>
      <c r="B11" s="9" t="s">
        <v>68</v>
      </c>
      <c r="C11" s="10">
        <v>43283</v>
      </c>
      <c r="D11" s="11">
        <v>154</v>
      </c>
      <c r="E11" s="12" t="s">
        <v>34</v>
      </c>
      <c r="F11" s="12" t="s">
        <v>34</v>
      </c>
      <c r="G11" s="12" t="s">
        <v>34</v>
      </c>
      <c r="H11" s="12" t="s">
        <v>35</v>
      </c>
      <c r="I11" s="11" t="s">
        <v>85</v>
      </c>
      <c r="J11" s="12" t="s">
        <v>86</v>
      </c>
      <c r="K11" s="13" t="s">
        <v>87</v>
      </c>
      <c r="L11" s="11" t="str">
        <f>"002257"</f>
        <v>002257</v>
      </c>
      <c r="M11" s="10">
        <v>42774</v>
      </c>
      <c r="N11" s="11" t="str">
        <f>"000033"</f>
        <v>000033</v>
      </c>
      <c r="O11" s="10">
        <v>43190</v>
      </c>
      <c r="P11" s="11" t="str">
        <f>"000008"</f>
        <v>000008</v>
      </c>
      <c r="Q11" s="10">
        <v>43230</v>
      </c>
      <c r="R11" s="11">
        <v>17</v>
      </c>
      <c r="S11" s="11" t="str">
        <f>"003071"</f>
        <v>003071</v>
      </c>
      <c r="T11" s="10">
        <v>43278</v>
      </c>
      <c r="U11" s="14">
        <v>19.73</v>
      </c>
      <c r="V11" s="14">
        <v>2.5811000000000002</v>
      </c>
      <c r="W11" s="14">
        <v>17.148900000000001</v>
      </c>
      <c r="X11" s="11">
        <v>109</v>
      </c>
      <c r="Y11" s="10">
        <v>43283</v>
      </c>
      <c r="Z11" s="11">
        <v>9844742550</v>
      </c>
      <c r="AA11" s="12" t="s">
        <v>88</v>
      </c>
      <c r="AB11" s="11" t="s">
        <v>40</v>
      </c>
      <c r="AC11" s="12" t="s">
        <v>41</v>
      </c>
      <c r="AD11" s="11" t="s">
        <v>42</v>
      </c>
      <c r="AE11" s="12" t="s">
        <v>43</v>
      </c>
      <c r="AF11" s="14">
        <v>0.1973</v>
      </c>
      <c r="AG11" s="11" t="s">
        <v>89</v>
      </c>
    </row>
    <row r="12" spans="1:33" x14ac:dyDescent="0.2">
      <c r="A12" s="8">
        <v>3585</v>
      </c>
      <c r="B12" s="9" t="s">
        <v>68</v>
      </c>
      <c r="C12" s="10">
        <v>43299</v>
      </c>
      <c r="D12" s="11">
        <v>154</v>
      </c>
      <c r="E12" s="12" t="s">
        <v>34</v>
      </c>
      <c r="F12" s="12" t="s">
        <v>34</v>
      </c>
      <c r="G12" s="12" t="s">
        <v>34</v>
      </c>
      <c r="H12" s="12" t="s">
        <v>35</v>
      </c>
      <c r="I12" s="11" t="s">
        <v>90</v>
      </c>
      <c r="J12" s="12" t="s">
        <v>91</v>
      </c>
      <c r="K12" s="13" t="s">
        <v>38</v>
      </c>
      <c r="L12" s="11" t="str">
        <f>"000021"</f>
        <v>000021</v>
      </c>
      <c r="M12" s="10">
        <v>42934</v>
      </c>
      <c r="N12" s="11" t="str">
        <f>"000130"</f>
        <v>000130</v>
      </c>
      <c r="O12" s="10">
        <v>43181</v>
      </c>
      <c r="P12" s="11" t="str">
        <f>"000130"</f>
        <v>000130</v>
      </c>
      <c r="Q12" s="10">
        <v>43181</v>
      </c>
      <c r="R12" s="11">
        <v>16</v>
      </c>
      <c r="S12" s="11" t="str">
        <f>"004032"</f>
        <v>004032</v>
      </c>
      <c r="T12" s="10">
        <v>43300</v>
      </c>
      <c r="U12" s="14">
        <v>7.1391</v>
      </c>
      <c r="V12" s="14">
        <v>0.63287000000000004</v>
      </c>
      <c r="W12" s="14">
        <v>6.5062300000000004</v>
      </c>
      <c r="X12" s="11">
        <v>127</v>
      </c>
      <c r="Y12" s="10">
        <v>43299</v>
      </c>
      <c r="Z12" s="11">
        <v>0</v>
      </c>
      <c r="AA12" s="12" t="s">
        <v>92</v>
      </c>
      <c r="AB12" s="11" t="s">
        <v>93</v>
      </c>
      <c r="AC12" s="12" t="s">
        <v>94</v>
      </c>
      <c r="AD12" s="11" t="s">
        <v>51</v>
      </c>
      <c r="AE12" s="12" t="s">
        <v>52</v>
      </c>
      <c r="AF12" s="14">
        <v>7.1390999999999996E-2</v>
      </c>
      <c r="AG12" s="11" t="s">
        <v>44</v>
      </c>
    </row>
    <row r="13" spans="1:33" x14ac:dyDescent="0.2">
      <c r="A13" s="8">
        <v>3784</v>
      </c>
      <c r="B13" s="9" t="s">
        <v>68</v>
      </c>
      <c r="C13" s="10">
        <v>43301</v>
      </c>
      <c r="D13" s="11">
        <v>154</v>
      </c>
      <c r="E13" s="12" t="s">
        <v>34</v>
      </c>
      <c r="F13" s="12" t="s">
        <v>34</v>
      </c>
      <c r="G13" s="12" t="s">
        <v>34</v>
      </c>
      <c r="H13" s="12" t="s">
        <v>35</v>
      </c>
      <c r="I13" s="11" t="s">
        <v>90</v>
      </c>
      <c r="J13" s="12" t="s">
        <v>91</v>
      </c>
      <c r="K13" s="13" t="s">
        <v>38</v>
      </c>
      <c r="L13" s="11" t="str">
        <f>"000021"</f>
        <v>000021</v>
      </c>
      <c r="M13" s="10">
        <v>42934</v>
      </c>
      <c r="N13" s="11" t="str">
        <f>"000130"</f>
        <v>000130</v>
      </c>
      <c r="O13" s="10">
        <v>43181</v>
      </c>
      <c r="P13" s="11" t="str">
        <f>"000130"</f>
        <v>000130</v>
      </c>
      <c r="Q13" s="10">
        <v>43181</v>
      </c>
      <c r="R13" s="11">
        <v>16</v>
      </c>
      <c r="S13" s="11" t="str">
        <f>"004032"</f>
        <v>004032</v>
      </c>
      <c r="T13" s="10">
        <v>43300</v>
      </c>
      <c r="U13" s="14">
        <v>2.7361</v>
      </c>
      <c r="V13" s="14">
        <v>0.23926</v>
      </c>
      <c r="W13" s="14">
        <v>2.4968400000000002</v>
      </c>
      <c r="X13" s="11">
        <v>134</v>
      </c>
      <c r="Y13" s="10">
        <v>43301</v>
      </c>
      <c r="Z13" s="11">
        <v>0</v>
      </c>
      <c r="AA13" s="12" t="s">
        <v>92</v>
      </c>
      <c r="AB13" s="11" t="s">
        <v>93</v>
      </c>
      <c r="AC13" s="12" t="s">
        <v>94</v>
      </c>
      <c r="AD13" s="11" t="s">
        <v>51</v>
      </c>
      <c r="AE13" s="12" t="s">
        <v>52</v>
      </c>
      <c r="AF13" s="14">
        <v>2.7361E-2</v>
      </c>
      <c r="AG13" s="11" t="s">
        <v>44</v>
      </c>
    </row>
    <row r="14" spans="1:33" x14ac:dyDescent="0.2">
      <c r="A14" s="8">
        <v>3864</v>
      </c>
      <c r="B14" s="9" t="s">
        <v>68</v>
      </c>
      <c r="C14" s="10">
        <v>43304</v>
      </c>
      <c r="D14" s="11">
        <v>154</v>
      </c>
      <c r="E14" s="12" t="s">
        <v>34</v>
      </c>
      <c r="F14" s="12" t="s">
        <v>34</v>
      </c>
      <c r="G14" s="12" t="s">
        <v>34</v>
      </c>
      <c r="H14" s="12" t="s">
        <v>35</v>
      </c>
      <c r="I14" s="11" t="s">
        <v>95</v>
      </c>
      <c r="J14" s="12" t="s">
        <v>96</v>
      </c>
      <c r="K14" s="13" t="s">
        <v>87</v>
      </c>
      <c r="L14" s="11" t="str">
        <f>"00036B"</f>
        <v>00036B</v>
      </c>
      <c r="M14" s="10">
        <v>42619</v>
      </c>
      <c r="N14" s="11" t="str">
        <f>""</f>
        <v/>
      </c>
      <c r="O14" s="10"/>
      <c r="P14" s="11" t="str">
        <f>""</f>
        <v/>
      </c>
      <c r="Q14" s="10"/>
      <c r="R14" s="11">
        <v>16</v>
      </c>
      <c r="S14" s="11" t="str">
        <f>""</f>
        <v/>
      </c>
      <c r="T14" s="10"/>
      <c r="U14" s="14">
        <v>1.4370000000000001</v>
      </c>
      <c r="V14" s="14">
        <v>0.14399999999999999</v>
      </c>
      <c r="W14" s="14">
        <v>1.2929999999999999</v>
      </c>
      <c r="X14" s="11">
        <v>136</v>
      </c>
      <c r="Y14" s="10">
        <v>43304</v>
      </c>
      <c r="Z14" s="11">
        <v>7019027050</v>
      </c>
      <c r="AA14" s="12" t="s">
        <v>97</v>
      </c>
      <c r="AB14" s="11" t="s">
        <v>98</v>
      </c>
      <c r="AC14" s="12" t="s">
        <v>99</v>
      </c>
      <c r="AD14" s="11" t="s">
        <v>42</v>
      </c>
      <c r="AE14" s="12" t="s">
        <v>43</v>
      </c>
      <c r="AF14" s="14">
        <v>1.4370000000000001E-2</v>
      </c>
      <c r="AG14" s="11" t="s">
        <v>44</v>
      </c>
    </row>
    <row r="15" spans="1:33" x14ac:dyDescent="0.2">
      <c r="A15" s="8">
        <v>4160</v>
      </c>
      <c r="B15" s="9" t="s">
        <v>68</v>
      </c>
      <c r="C15" s="10">
        <v>43308</v>
      </c>
      <c r="D15" s="11">
        <v>154</v>
      </c>
      <c r="E15" s="12" t="s">
        <v>34</v>
      </c>
      <c r="F15" s="12" t="s">
        <v>34</v>
      </c>
      <c r="G15" s="12" t="s">
        <v>34</v>
      </c>
      <c r="H15" s="12" t="s">
        <v>35</v>
      </c>
      <c r="I15" s="11" t="s">
        <v>45</v>
      </c>
      <c r="J15" s="12" t="s">
        <v>46</v>
      </c>
      <c r="K15" s="13" t="s">
        <v>47</v>
      </c>
      <c r="L15" s="11" t="str">
        <f>"000003"</f>
        <v>000003</v>
      </c>
      <c r="M15" s="10">
        <v>42461</v>
      </c>
      <c r="N15" s="11" t="str">
        <f>"000035"</f>
        <v>000035</v>
      </c>
      <c r="O15" s="10">
        <v>42914</v>
      </c>
      <c r="P15" s="11" t="str">
        <f>"000071"</f>
        <v>000071</v>
      </c>
      <c r="Q15" s="10">
        <v>42914</v>
      </c>
      <c r="R15" s="11">
        <v>16</v>
      </c>
      <c r="S15" s="11" t="str">
        <f>"004318"</f>
        <v>004318</v>
      </c>
      <c r="T15" s="10">
        <v>43306</v>
      </c>
      <c r="U15" s="14">
        <v>0.59972999999999999</v>
      </c>
      <c r="V15" s="14">
        <v>4.258E-2</v>
      </c>
      <c r="W15" s="14">
        <v>0.55715000000000003</v>
      </c>
      <c r="X15" s="11">
        <v>146</v>
      </c>
      <c r="Y15" s="10">
        <v>43308</v>
      </c>
      <c r="Z15" s="11">
        <v>9686681397</v>
      </c>
      <c r="AA15" s="12" t="s">
        <v>48</v>
      </c>
      <c r="AB15" s="11" t="s">
        <v>49</v>
      </c>
      <c r="AC15" s="12" t="s">
        <v>50</v>
      </c>
      <c r="AD15" s="11" t="s">
        <v>51</v>
      </c>
      <c r="AE15" s="12" t="s">
        <v>52</v>
      </c>
      <c r="AF15" s="14">
        <v>5.9972999999999997E-3</v>
      </c>
      <c r="AG15" s="11" t="s">
        <v>44</v>
      </c>
    </row>
    <row r="16" spans="1:33" x14ac:dyDescent="0.2">
      <c r="A16" s="8">
        <v>5501</v>
      </c>
      <c r="B16" s="9" t="s">
        <v>100</v>
      </c>
      <c r="C16" s="10">
        <v>43357</v>
      </c>
      <c r="D16" s="11">
        <v>154</v>
      </c>
      <c r="E16" s="12" t="s">
        <v>34</v>
      </c>
      <c r="F16" s="12" t="s">
        <v>34</v>
      </c>
      <c r="G16" s="12" t="s">
        <v>34</v>
      </c>
      <c r="H16" s="12" t="s">
        <v>35</v>
      </c>
      <c r="I16" s="11" t="s">
        <v>101</v>
      </c>
      <c r="J16" s="12" t="s">
        <v>102</v>
      </c>
      <c r="K16" s="13" t="s">
        <v>47</v>
      </c>
      <c r="L16" s="11" t="str">
        <f>"000014"</f>
        <v>000014</v>
      </c>
      <c r="M16" s="10">
        <v>42545</v>
      </c>
      <c r="N16" s="11" t="str">
        <f>"000013"</f>
        <v>000013</v>
      </c>
      <c r="O16" s="10">
        <v>42885</v>
      </c>
      <c r="P16" s="11" t="str">
        <f>"000027"</f>
        <v>000027</v>
      </c>
      <c r="Q16" s="10">
        <v>42886</v>
      </c>
      <c r="R16" s="11">
        <v>16</v>
      </c>
      <c r="S16" s="11" t="str">
        <f>"005731"</f>
        <v>005731</v>
      </c>
      <c r="T16" s="10">
        <v>43354</v>
      </c>
      <c r="U16" s="14">
        <v>6.75</v>
      </c>
      <c r="V16" s="14">
        <v>0.4138</v>
      </c>
      <c r="W16" s="14">
        <v>6.3361999999999998</v>
      </c>
      <c r="X16" s="11">
        <v>203</v>
      </c>
      <c r="Y16" s="10">
        <v>43357</v>
      </c>
      <c r="Z16" s="11">
        <v>9448026974</v>
      </c>
      <c r="AA16" s="12" t="s">
        <v>103</v>
      </c>
      <c r="AB16" s="11" t="s">
        <v>40</v>
      </c>
      <c r="AC16" s="12" t="s">
        <v>41</v>
      </c>
      <c r="AD16" s="11" t="s">
        <v>42</v>
      </c>
      <c r="AE16" s="12" t="s">
        <v>43</v>
      </c>
      <c r="AF16" s="14">
        <f t="shared" ref="AF16:AF36" si="0">U16/100</f>
        <v>6.7500000000000004E-2</v>
      </c>
      <c r="AG16" s="11" t="s">
        <v>44</v>
      </c>
    </row>
    <row r="17" spans="1:33" x14ac:dyDescent="0.2">
      <c r="A17" s="8">
        <v>5547</v>
      </c>
      <c r="B17" s="9" t="s">
        <v>100</v>
      </c>
      <c r="C17" s="10">
        <v>43362</v>
      </c>
      <c r="D17" s="11">
        <v>154</v>
      </c>
      <c r="E17" s="12" t="s">
        <v>34</v>
      </c>
      <c r="F17" s="12" t="s">
        <v>34</v>
      </c>
      <c r="G17" s="12" t="s">
        <v>34</v>
      </c>
      <c r="H17" s="12" t="s">
        <v>35</v>
      </c>
      <c r="I17" s="11" t="s">
        <v>104</v>
      </c>
      <c r="J17" s="12" t="s">
        <v>105</v>
      </c>
      <c r="K17" s="13" t="s">
        <v>38</v>
      </c>
      <c r="L17" s="11" t="str">
        <f>"000061"</f>
        <v>000061</v>
      </c>
      <c r="M17" s="10">
        <v>42453</v>
      </c>
      <c r="N17" s="11" t="str">
        <f>"000086"</f>
        <v>000086</v>
      </c>
      <c r="O17" s="10">
        <v>42622</v>
      </c>
      <c r="P17" s="11" t="str">
        <f>"000215"</f>
        <v>000215</v>
      </c>
      <c r="Q17" s="10">
        <v>42625</v>
      </c>
      <c r="R17" s="11">
        <v>16</v>
      </c>
      <c r="S17" s="11" t="str">
        <f>"005715"</f>
        <v>005715</v>
      </c>
      <c r="T17" s="10">
        <v>43353</v>
      </c>
      <c r="U17" s="14">
        <v>9.6620000000000008</v>
      </c>
      <c r="V17" s="14">
        <v>1.2215</v>
      </c>
      <c r="W17" s="14">
        <v>8.4405000000000001</v>
      </c>
      <c r="X17" s="11">
        <v>207</v>
      </c>
      <c r="Y17" s="10">
        <v>43362</v>
      </c>
      <c r="Z17" s="11">
        <v>9480051790</v>
      </c>
      <c r="AA17" s="12" t="s">
        <v>106</v>
      </c>
      <c r="AB17" s="11" t="s">
        <v>40</v>
      </c>
      <c r="AC17" s="12" t="s">
        <v>41</v>
      </c>
      <c r="AD17" s="11" t="s">
        <v>42</v>
      </c>
      <c r="AE17" s="12" t="s">
        <v>43</v>
      </c>
      <c r="AF17" s="14">
        <f t="shared" si="0"/>
        <v>9.6620000000000011E-2</v>
      </c>
      <c r="AG17" s="11" t="s">
        <v>44</v>
      </c>
    </row>
    <row r="18" spans="1:33" x14ac:dyDescent="0.2">
      <c r="A18" s="8">
        <v>5548</v>
      </c>
      <c r="B18" s="9" t="s">
        <v>100</v>
      </c>
      <c r="C18" s="10">
        <v>43362</v>
      </c>
      <c r="D18" s="11">
        <v>154</v>
      </c>
      <c r="E18" s="12" t="s">
        <v>34</v>
      </c>
      <c r="F18" s="12" t="s">
        <v>34</v>
      </c>
      <c r="G18" s="12" t="s">
        <v>34</v>
      </c>
      <c r="H18" s="12" t="s">
        <v>35</v>
      </c>
      <c r="I18" s="11" t="s">
        <v>107</v>
      </c>
      <c r="J18" s="12" t="s">
        <v>108</v>
      </c>
      <c r="K18" s="13" t="s">
        <v>87</v>
      </c>
      <c r="L18" s="11" t="str">
        <f>"000060"</f>
        <v>000060</v>
      </c>
      <c r="M18" s="10">
        <v>42453</v>
      </c>
      <c r="N18" s="11" t="str">
        <f>"000121"</f>
        <v>000121</v>
      </c>
      <c r="O18" s="10">
        <v>42776</v>
      </c>
      <c r="P18" s="11" t="str">
        <f>"000269"</f>
        <v>000269</v>
      </c>
      <c r="Q18" s="10">
        <v>42779</v>
      </c>
      <c r="R18" s="11">
        <v>16</v>
      </c>
      <c r="S18" s="11" t="str">
        <f>"005717"</f>
        <v>005717</v>
      </c>
      <c r="T18" s="10">
        <v>43353</v>
      </c>
      <c r="U18" s="14">
        <v>20.948</v>
      </c>
      <c r="V18" s="14">
        <v>2.7519999999999998</v>
      </c>
      <c r="W18" s="14">
        <v>18.196000000000002</v>
      </c>
      <c r="X18" s="11">
        <v>207</v>
      </c>
      <c r="Y18" s="10">
        <v>43362</v>
      </c>
      <c r="Z18" s="11">
        <v>9480051790</v>
      </c>
      <c r="AA18" s="12" t="s">
        <v>109</v>
      </c>
      <c r="AB18" s="11" t="s">
        <v>40</v>
      </c>
      <c r="AC18" s="12" t="s">
        <v>41</v>
      </c>
      <c r="AD18" s="11" t="s">
        <v>42</v>
      </c>
      <c r="AE18" s="12" t="s">
        <v>43</v>
      </c>
      <c r="AF18" s="14">
        <f t="shared" si="0"/>
        <v>0.20948</v>
      </c>
      <c r="AG18" s="11" t="s">
        <v>44</v>
      </c>
    </row>
    <row r="19" spans="1:33" x14ac:dyDescent="0.2">
      <c r="A19" s="8">
        <v>5562</v>
      </c>
      <c r="B19" s="9" t="s">
        <v>100</v>
      </c>
      <c r="C19" s="10">
        <v>43363</v>
      </c>
      <c r="D19" s="11">
        <v>154</v>
      </c>
      <c r="E19" s="12" t="s">
        <v>34</v>
      </c>
      <c r="F19" s="12" t="s">
        <v>34</v>
      </c>
      <c r="G19" s="12" t="s">
        <v>34</v>
      </c>
      <c r="H19" s="12" t="s">
        <v>35</v>
      </c>
      <c r="I19" s="11" t="s">
        <v>110</v>
      </c>
      <c r="J19" s="12" t="s">
        <v>111</v>
      </c>
      <c r="K19" s="13" t="s">
        <v>38</v>
      </c>
      <c r="L19" s="11" t="str">
        <f>"000147"</f>
        <v>000147</v>
      </c>
      <c r="M19" s="10">
        <v>43129</v>
      </c>
      <c r="N19" s="11" t="str">
        <f>"000062"</f>
        <v>000062</v>
      </c>
      <c r="O19" s="10">
        <v>43348</v>
      </c>
      <c r="P19" s="11" t="str">
        <f>"000062"</f>
        <v>000062</v>
      </c>
      <c r="Q19" s="10">
        <v>43348</v>
      </c>
      <c r="R19" s="11">
        <v>17</v>
      </c>
      <c r="S19" s="11" t="str">
        <f>"005806"</f>
        <v>005806</v>
      </c>
      <c r="T19" s="10">
        <v>43361</v>
      </c>
      <c r="U19" s="14">
        <v>5.9331500000000004</v>
      </c>
      <c r="V19" s="14">
        <v>0.18392</v>
      </c>
      <c r="W19" s="14">
        <v>5.7492299999999998</v>
      </c>
      <c r="X19" s="11">
        <v>208</v>
      </c>
      <c r="Y19" s="10">
        <v>43363</v>
      </c>
      <c r="Z19" s="11">
        <v>9740870344</v>
      </c>
      <c r="AA19" s="12" t="s">
        <v>112</v>
      </c>
      <c r="AB19" s="11" t="s">
        <v>65</v>
      </c>
      <c r="AC19" s="12" t="s">
        <v>66</v>
      </c>
      <c r="AD19" s="11" t="s">
        <v>51</v>
      </c>
      <c r="AE19" s="12" t="s">
        <v>52</v>
      </c>
      <c r="AF19" s="14">
        <f t="shared" si="0"/>
        <v>5.9331500000000002E-2</v>
      </c>
      <c r="AG19" s="11" t="s">
        <v>89</v>
      </c>
    </row>
    <row r="20" spans="1:33" x14ac:dyDescent="0.2">
      <c r="A20" s="8">
        <v>7260</v>
      </c>
      <c r="B20" s="9" t="s">
        <v>113</v>
      </c>
      <c r="C20" s="10">
        <v>43420</v>
      </c>
      <c r="D20" s="11">
        <v>154</v>
      </c>
      <c r="E20" s="12" t="s">
        <v>34</v>
      </c>
      <c r="F20" s="12" t="s">
        <v>34</v>
      </c>
      <c r="G20" s="12" t="s">
        <v>34</v>
      </c>
      <c r="H20" s="12" t="s">
        <v>35</v>
      </c>
      <c r="I20" s="11" t="s">
        <v>114</v>
      </c>
      <c r="J20" s="12" t="s">
        <v>115</v>
      </c>
      <c r="K20" s="13" t="s">
        <v>47</v>
      </c>
      <c r="L20" s="11" t="str">
        <f>"000015"</f>
        <v>000015</v>
      </c>
      <c r="M20" s="10">
        <v>42979</v>
      </c>
      <c r="N20" s="11" t="str">
        <f>"000005"</f>
        <v>000005</v>
      </c>
      <c r="O20" s="10">
        <v>42983</v>
      </c>
      <c r="P20" s="11" t="str">
        <f>"00006"</f>
        <v>00006</v>
      </c>
      <c r="Q20" s="10">
        <v>42853</v>
      </c>
      <c r="R20" s="11">
        <v>17</v>
      </c>
      <c r="S20" s="11" t="str">
        <f>"007288"</f>
        <v>007288</v>
      </c>
      <c r="T20" s="10">
        <v>43407</v>
      </c>
      <c r="U20" s="14">
        <v>14.18887</v>
      </c>
      <c r="V20" s="14">
        <v>0.95469999999999999</v>
      </c>
      <c r="W20" s="14">
        <v>13.234170000000001</v>
      </c>
      <c r="X20" s="11">
        <v>266</v>
      </c>
      <c r="Y20" s="10">
        <v>43420</v>
      </c>
      <c r="Z20" s="11">
        <v>9348519718</v>
      </c>
      <c r="AA20" s="12" t="s">
        <v>116</v>
      </c>
      <c r="AB20" s="11" t="s">
        <v>40</v>
      </c>
      <c r="AC20" s="12" t="s">
        <v>41</v>
      </c>
      <c r="AD20" s="11" t="s">
        <v>42</v>
      </c>
      <c r="AE20" s="12" t="s">
        <v>43</v>
      </c>
      <c r="AF20" s="14">
        <f t="shared" si="0"/>
        <v>0.14188870000000001</v>
      </c>
      <c r="AG20" s="11" t="s">
        <v>44</v>
      </c>
    </row>
    <row r="21" spans="1:33" x14ac:dyDescent="0.2">
      <c r="A21" s="8">
        <v>7580</v>
      </c>
      <c r="B21" s="9" t="s">
        <v>117</v>
      </c>
      <c r="C21" s="10">
        <v>43437</v>
      </c>
      <c r="D21" s="11">
        <v>154</v>
      </c>
      <c r="E21" s="12" t="s">
        <v>34</v>
      </c>
      <c r="F21" s="12" t="s">
        <v>34</v>
      </c>
      <c r="G21" s="12" t="s">
        <v>34</v>
      </c>
      <c r="H21" s="12" t="s">
        <v>35</v>
      </c>
      <c r="I21" s="11" t="s">
        <v>118</v>
      </c>
      <c r="J21" s="12" t="s">
        <v>119</v>
      </c>
      <c r="K21" s="13" t="s">
        <v>38</v>
      </c>
      <c r="L21" s="11" t="str">
        <f>"000033"</f>
        <v>000033</v>
      </c>
      <c r="M21" s="10">
        <v>42599</v>
      </c>
      <c r="N21" s="11" t="str">
        <f>"000025"</f>
        <v>000025</v>
      </c>
      <c r="O21" s="10">
        <v>42886</v>
      </c>
      <c r="P21" s="11" t="str">
        <f>"000046"</f>
        <v>000046</v>
      </c>
      <c r="Q21" s="10">
        <v>42886</v>
      </c>
      <c r="R21" s="11">
        <v>13</v>
      </c>
      <c r="S21" s="11" t="str">
        <f>"007415"</f>
        <v>007415</v>
      </c>
      <c r="T21" s="10">
        <v>43421</v>
      </c>
      <c r="U21" s="14">
        <v>20.89</v>
      </c>
      <c r="V21" s="14">
        <v>2.7195999999999998</v>
      </c>
      <c r="W21" s="14">
        <v>18.170400000000001</v>
      </c>
      <c r="X21" s="11">
        <v>279</v>
      </c>
      <c r="Y21" s="10">
        <v>43437</v>
      </c>
      <c r="Z21" s="11">
        <v>7829909056</v>
      </c>
      <c r="AA21" s="12" t="s">
        <v>120</v>
      </c>
      <c r="AB21" s="11" t="s">
        <v>121</v>
      </c>
      <c r="AC21" s="12" t="s">
        <v>122</v>
      </c>
      <c r="AD21" s="11" t="s">
        <v>42</v>
      </c>
      <c r="AE21" s="12" t="s">
        <v>43</v>
      </c>
      <c r="AF21" s="14">
        <f t="shared" si="0"/>
        <v>0.2089</v>
      </c>
      <c r="AG21" s="11" t="s">
        <v>44</v>
      </c>
    </row>
    <row r="22" spans="1:33" x14ac:dyDescent="0.2">
      <c r="A22" s="8">
        <v>7581</v>
      </c>
      <c r="B22" s="9" t="s">
        <v>117</v>
      </c>
      <c r="C22" s="10">
        <v>43437</v>
      </c>
      <c r="D22" s="11">
        <v>154</v>
      </c>
      <c r="E22" s="12" t="s">
        <v>34</v>
      </c>
      <c r="F22" s="12" t="s">
        <v>34</v>
      </c>
      <c r="G22" s="12" t="s">
        <v>34</v>
      </c>
      <c r="H22" s="12" t="s">
        <v>35</v>
      </c>
      <c r="I22" s="11" t="s">
        <v>123</v>
      </c>
      <c r="J22" s="12" t="s">
        <v>124</v>
      </c>
      <c r="K22" s="13" t="s">
        <v>63</v>
      </c>
      <c r="L22" s="11" t="str">
        <f>"000080"</f>
        <v>000080</v>
      </c>
      <c r="M22" s="10">
        <v>42822</v>
      </c>
      <c r="N22" s="11" t="str">
        <f>"000030"</f>
        <v>000030</v>
      </c>
      <c r="O22" s="10">
        <v>42886</v>
      </c>
      <c r="P22" s="11" t="str">
        <f>"000055"</f>
        <v>000055</v>
      </c>
      <c r="Q22" s="10">
        <v>42886</v>
      </c>
      <c r="R22" s="11">
        <v>17</v>
      </c>
      <c r="S22" s="11" t="str">
        <f>"007438"</f>
        <v>007438</v>
      </c>
      <c r="T22" s="10">
        <v>43421</v>
      </c>
      <c r="U22" s="14">
        <v>14.829000000000001</v>
      </c>
      <c r="V22" s="14">
        <v>0.66800000000000004</v>
      </c>
      <c r="W22" s="14">
        <v>14.161</v>
      </c>
      <c r="X22" s="11">
        <v>279</v>
      </c>
      <c r="Y22" s="10">
        <v>43437</v>
      </c>
      <c r="Z22" s="11">
        <v>7795589171</v>
      </c>
      <c r="AA22" s="12" t="s">
        <v>125</v>
      </c>
      <c r="AB22" s="11" t="s">
        <v>40</v>
      </c>
      <c r="AC22" s="12" t="s">
        <v>41</v>
      </c>
      <c r="AD22" s="11" t="s">
        <v>42</v>
      </c>
      <c r="AE22" s="12" t="s">
        <v>43</v>
      </c>
      <c r="AF22" s="14">
        <f t="shared" si="0"/>
        <v>0.14829000000000001</v>
      </c>
      <c r="AG22" s="11" t="s">
        <v>44</v>
      </c>
    </row>
    <row r="23" spans="1:33" x14ac:dyDescent="0.2">
      <c r="A23" s="8">
        <v>7795</v>
      </c>
      <c r="B23" s="9" t="s">
        <v>117</v>
      </c>
      <c r="C23" s="10">
        <v>43448</v>
      </c>
      <c r="D23" s="11">
        <v>154</v>
      </c>
      <c r="E23" s="12" t="s">
        <v>34</v>
      </c>
      <c r="F23" s="12" t="s">
        <v>34</v>
      </c>
      <c r="G23" s="12" t="s">
        <v>34</v>
      </c>
      <c r="H23" s="12" t="s">
        <v>35</v>
      </c>
      <c r="I23" s="11" t="s">
        <v>126</v>
      </c>
      <c r="J23" s="12" t="s">
        <v>127</v>
      </c>
      <c r="K23" s="13" t="s">
        <v>71</v>
      </c>
      <c r="L23" s="11" t="str">
        <f>"000005"</f>
        <v>000005</v>
      </c>
      <c r="M23" s="10">
        <v>43191</v>
      </c>
      <c r="N23" s="11" t="str">
        <f>"000014"</f>
        <v>000014</v>
      </c>
      <c r="O23" s="10">
        <v>43057</v>
      </c>
      <c r="P23" s="11" t="str">
        <f>"000021"</f>
        <v>000021</v>
      </c>
      <c r="Q23" s="10">
        <v>43060</v>
      </c>
      <c r="R23" s="11">
        <v>17</v>
      </c>
      <c r="S23" s="11" t="str">
        <f>"007908"</f>
        <v>007908</v>
      </c>
      <c r="T23" s="10">
        <v>43445</v>
      </c>
      <c r="U23" s="14">
        <v>46.961500000000001</v>
      </c>
      <c r="V23" s="14">
        <v>4.3234899999999996</v>
      </c>
      <c r="W23" s="14">
        <v>42.638010000000001</v>
      </c>
      <c r="X23" s="11">
        <v>292</v>
      </c>
      <c r="Y23" s="10">
        <v>43448</v>
      </c>
      <c r="Z23" s="11">
        <v>9448084879</v>
      </c>
      <c r="AA23" s="12" t="s">
        <v>128</v>
      </c>
      <c r="AB23" s="11" t="s">
        <v>72</v>
      </c>
      <c r="AC23" s="12" t="s">
        <v>73</v>
      </c>
      <c r="AD23" s="11" t="s">
        <v>74</v>
      </c>
      <c r="AE23" s="12" t="s">
        <v>75</v>
      </c>
      <c r="AF23" s="14">
        <f t="shared" si="0"/>
        <v>0.469615</v>
      </c>
      <c r="AG23" s="11" t="s">
        <v>89</v>
      </c>
    </row>
    <row r="24" spans="1:33" x14ac:dyDescent="0.2">
      <c r="A24" s="8">
        <v>8060</v>
      </c>
      <c r="B24" s="9" t="s">
        <v>117</v>
      </c>
      <c r="C24" s="10">
        <v>43455</v>
      </c>
      <c r="D24" s="11">
        <v>154</v>
      </c>
      <c r="E24" s="12" t="s">
        <v>34</v>
      </c>
      <c r="F24" s="12" t="s">
        <v>34</v>
      </c>
      <c r="G24" s="12" t="s">
        <v>34</v>
      </c>
      <c r="H24" s="12" t="s">
        <v>35</v>
      </c>
      <c r="I24" s="11" t="s">
        <v>129</v>
      </c>
      <c r="J24" s="12" t="s">
        <v>124</v>
      </c>
      <c r="K24" s="13" t="s">
        <v>63</v>
      </c>
      <c r="L24" s="11" t="str">
        <f>"00003A"</f>
        <v>00003A</v>
      </c>
      <c r="M24" s="10">
        <v>42489</v>
      </c>
      <c r="N24" s="11" t="str">
        <f>"000024"</f>
        <v>000024</v>
      </c>
      <c r="O24" s="10">
        <v>42886</v>
      </c>
      <c r="P24" s="11" t="str">
        <f>"000049"</f>
        <v>000049</v>
      </c>
      <c r="Q24" s="10">
        <v>42886</v>
      </c>
      <c r="R24" s="11">
        <v>16</v>
      </c>
      <c r="S24" s="11" t="str">
        <f>"007822"</f>
        <v>007822</v>
      </c>
      <c r="T24" s="10">
        <v>43444</v>
      </c>
      <c r="U24" s="14">
        <v>16.469000000000001</v>
      </c>
      <c r="V24" s="14">
        <v>2.0630999999999999</v>
      </c>
      <c r="W24" s="14">
        <v>14.405900000000001</v>
      </c>
      <c r="X24" s="11">
        <v>301</v>
      </c>
      <c r="Y24" s="10">
        <v>43455</v>
      </c>
      <c r="Z24" s="11">
        <v>9480933423</v>
      </c>
      <c r="AA24" s="12" t="s">
        <v>130</v>
      </c>
      <c r="AB24" s="11" t="s">
        <v>131</v>
      </c>
      <c r="AC24" s="12" t="s">
        <v>132</v>
      </c>
      <c r="AD24" s="11" t="s">
        <v>42</v>
      </c>
      <c r="AE24" s="12" t="s">
        <v>43</v>
      </c>
      <c r="AF24" s="14">
        <f t="shared" si="0"/>
        <v>0.16469</v>
      </c>
      <c r="AG24" s="11" t="s">
        <v>44</v>
      </c>
    </row>
    <row r="25" spans="1:33" x14ac:dyDescent="0.2">
      <c r="A25" s="8">
        <v>8061</v>
      </c>
      <c r="B25" s="9" t="s">
        <v>117</v>
      </c>
      <c r="C25" s="10">
        <v>43455</v>
      </c>
      <c r="D25" s="11">
        <v>154</v>
      </c>
      <c r="E25" s="12" t="s">
        <v>34</v>
      </c>
      <c r="F25" s="12" t="s">
        <v>34</v>
      </c>
      <c r="G25" s="12" t="s">
        <v>34</v>
      </c>
      <c r="H25" s="12" t="s">
        <v>35</v>
      </c>
      <c r="I25" s="11" t="s">
        <v>133</v>
      </c>
      <c r="J25" s="12" t="s">
        <v>134</v>
      </c>
      <c r="K25" s="13" t="s">
        <v>47</v>
      </c>
      <c r="L25" s="11" t="str">
        <f>"000019"</f>
        <v>000019</v>
      </c>
      <c r="M25" s="10">
        <v>40732</v>
      </c>
      <c r="N25" s="11" t="str">
        <f>"000178"</f>
        <v>000178</v>
      </c>
      <c r="O25" s="10">
        <v>42348</v>
      </c>
      <c r="P25" s="11" t="str">
        <f>"000476"</f>
        <v>000476</v>
      </c>
      <c r="Q25" s="10">
        <v>42353</v>
      </c>
      <c r="R25" s="11">
        <v>11</v>
      </c>
      <c r="S25" s="11" t="str">
        <f>"002120"</f>
        <v>002120</v>
      </c>
      <c r="T25" s="10">
        <v>42529</v>
      </c>
      <c r="U25" s="14">
        <v>16.875900000000001</v>
      </c>
      <c r="V25" s="14">
        <v>1.8768499999999999</v>
      </c>
      <c r="W25" s="14">
        <v>14.99905</v>
      </c>
      <c r="X25" s="11">
        <v>301</v>
      </c>
      <c r="Y25" s="10">
        <v>43455</v>
      </c>
      <c r="Z25" s="11">
        <v>9448638244</v>
      </c>
      <c r="AA25" s="12" t="s">
        <v>135</v>
      </c>
      <c r="AB25" s="11" t="s">
        <v>136</v>
      </c>
      <c r="AC25" s="12" t="s">
        <v>137</v>
      </c>
      <c r="AD25" s="11" t="s">
        <v>74</v>
      </c>
      <c r="AE25" s="12" t="s">
        <v>75</v>
      </c>
      <c r="AF25" s="14">
        <f t="shared" si="0"/>
        <v>0.16875900000000002</v>
      </c>
      <c r="AG25" s="11" t="s">
        <v>44</v>
      </c>
    </row>
    <row r="26" spans="1:33" x14ac:dyDescent="0.2">
      <c r="A26" s="8">
        <v>8324</v>
      </c>
      <c r="B26" s="9" t="s">
        <v>138</v>
      </c>
      <c r="C26" s="10">
        <v>43467</v>
      </c>
      <c r="D26" s="11">
        <v>154</v>
      </c>
      <c r="E26" s="12" t="s">
        <v>34</v>
      </c>
      <c r="F26" s="12" t="s">
        <v>34</v>
      </c>
      <c r="G26" s="12" t="s">
        <v>34</v>
      </c>
      <c r="H26" s="12" t="s">
        <v>35</v>
      </c>
      <c r="I26" s="11" t="s">
        <v>139</v>
      </c>
      <c r="J26" s="12" t="s">
        <v>140</v>
      </c>
      <c r="K26" s="13" t="s">
        <v>141</v>
      </c>
      <c r="L26" s="11" t="str">
        <f>"000057"</f>
        <v>000057</v>
      </c>
      <c r="M26" s="10">
        <v>43014</v>
      </c>
      <c r="N26" s="11" t="str">
        <f>"000051"</f>
        <v>000051</v>
      </c>
      <c r="O26" s="10">
        <v>43190</v>
      </c>
      <c r="P26" s="11" t="str">
        <f>"000003"</f>
        <v>000003</v>
      </c>
      <c r="Q26" s="10">
        <v>43201</v>
      </c>
      <c r="R26" s="11"/>
      <c r="S26" s="11" t="str">
        <f>"008211"</f>
        <v>008211</v>
      </c>
      <c r="T26" s="10">
        <v>43455</v>
      </c>
      <c r="U26" s="14">
        <v>62.461309999999997</v>
      </c>
      <c r="V26" s="14">
        <v>5.8845999999999998</v>
      </c>
      <c r="W26" s="14">
        <v>56.576709999999999</v>
      </c>
      <c r="X26" s="11">
        <v>310</v>
      </c>
      <c r="Y26" s="10">
        <v>43467</v>
      </c>
      <c r="Z26" s="11">
        <v>9448638244</v>
      </c>
      <c r="AA26" s="12" t="s">
        <v>142</v>
      </c>
      <c r="AB26" s="11" t="s">
        <v>143</v>
      </c>
      <c r="AC26" s="12" t="s">
        <v>144</v>
      </c>
      <c r="AD26" s="11" t="s">
        <v>74</v>
      </c>
      <c r="AE26" s="12" t="s">
        <v>75</v>
      </c>
      <c r="AF26" s="14">
        <f t="shared" si="0"/>
        <v>0.62461309999999992</v>
      </c>
      <c r="AG26" s="11" t="s">
        <v>89</v>
      </c>
    </row>
    <row r="27" spans="1:33" x14ac:dyDescent="0.2">
      <c r="A27" s="8">
        <v>8672</v>
      </c>
      <c r="B27" s="9" t="s">
        <v>138</v>
      </c>
      <c r="C27" s="10">
        <v>43484</v>
      </c>
      <c r="D27" s="11">
        <v>154</v>
      </c>
      <c r="E27" s="12" t="s">
        <v>34</v>
      </c>
      <c r="F27" s="12" t="s">
        <v>34</v>
      </c>
      <c r="G27" s="12" t="s">
        <v>34</v>
      </c>
      <c r="H27" s="12" t="s">
        <v>35</v>
      </c>
      <c r="I27" s="11" t="s">
        <v>145</v>
      </c>
      <c r="J27" s="12" t="s">
        <v>146</v>
      </c>
      <c r="K27" s="13" t="s">
        <v>87</v>
      </c>
      <c r="L27" s="11" t="str">
        <f>"00036E"</f>
        <v>00036E</v>
      </c>
      <c r="M27" s="10">
        <v>42619</v>
      </c>
      <c r="N27" s="11" t="str">
        <f>""</f>
        <v/>
      </c>
      <c r="O27" s="10"/>
      <c r="P27" s="11" t="str">
        <f>""</f>
        <v/>
      </c>
      <c r="Q27" s="10"/>
      <c r="R27" s="11"/>
      <c r="S27" s="11" t="str">
        <f>""</f>
        <v/>
      </c>
      <c r="T27" s="10"/>
      <c r="U27" s="14">
        <v>0.54800000000000004</v>
      </c>
      <c r="V27" s="14">
        <v>3.95E-2</v>
      </c>
      <c r="W27" s="14">
        <v>0.50849999999999995</v>
      </c>
      <c r="X27" s="11">
        <v>329</v>
      </c>
      <c r="Y27" s="10">
        <v>43484</v>
      </c>
      <c r="Z27" s="11">
        <v>9481585222</v>
      </c>
      <c r="AA27" s="12" t="s">
        <v>147</v>
      </c>
      <c r="AB27" s="11" t="s">
        <v>98</v>
      </c>
      <c r="AC27" s="12" t="s">
        <v>99</v>
      </c>
      <c r="AD27" s="11" t="s">
        <v>42</v>
      </c>
      <c r="AE27" s="12" t="s">
        <v>43</v>
      </c>
      <c r="AF27" s="14">
        <f t="shared" si="0"/>
        <v>5.4800000000000005E-3</v>
      </c>
      <c r="AG27" s="11" t="s">
        <v>44</v>
      </c>
    </row>
    <row r="28" spans="1:33" x14ac:dyDescent="0.2">
      <c r="A28" s="8">
        <v>8673</v>
      </c>
      <c r="B28" s="9" t="s">
        <v>138</v>
      </c>
      <c r="C28" s="10">
        <v>43484</v>
      </c>
      <c r="D28" s="11">
        <v>154</v>
      </c>
      <c r="E28" s="12" t="s">
        <v>34</v>
      </c>
      <c r="F28" s="12" t="s">
        <v>34</v>
      </c>
      <c r="G28" s="12" t="s">
        <v>34</v>
      </c>
      <c r="H28" s="12" t="s">
        <v>35</v>
      </c>
      <c r="I28" s="11" t="s">
        <v>148</v>
      </c>
      <c r="J28" s="12" t="s">
        <v>149</v>
      </c>
      <c r="K28" s="13" t="s">
        <v>87</v>
      </c>
      <c r="L28" s="11" t="str">
        <f>"000036"</f>
        <v>000036</v>
      </c>
      <c r="M28" s="10">
        <v>42619</v>
      </c>
      <c r="N28" s="11" t="str">
        <f>""</f>
        <v/>
      </c>
      <c r="O28" s="10"/>
      <c r="P28" s="11" t="str">
        <f>""</f>
        <v/>
      </c>
      <c r="Q28" s="10"/>
      <c r="R28" s="11"/>
      <c r="S28" s="11" t="str">
        <f>""</f>
        <v/>
      </c>
      <c r="T28" s="10"/>
      <c r="U28" s="14">
        <v>16.463999999999999</v>
      </c>
      <c r="V28" s="14">
        <v>1.81064</v>
      </c>
      <c r="W28" s="14">
        <v>14.653359999999999</v>
      </c>
      <c r="X28" s="11">
        <v>329</v>
      </c>
      <c r="Y28" s="10">
        <v>43484</v>
      </c>
      <c r="Z28" s="11">
        <v>9481585222</v>
      </c>
      <c r="AA28" s="12" t="s">
        <v>147</v>
      </c>
      <c r="AB28" s="11" t="s">
        <v>98</v>
      </c>
      <c r="AC28" s="12" t="s">
        <v>99</v>
      </c>
      <c r="AD28" s="11" t="s">
        <v>42</v>
      </c>
      <c r="AE28" s="12" t="s">
        <v>43</v>
      </c>
      <c r="AF28" s="14">
        <f t="shared" si="0"/>
        <v>0.16463999999999998</v>
      </c>
      <c r="AG28" s="11" t="s">
        <v>44</v>
      </c>
    </row>
    <row r="29" spans="1:33" x14ac:dyDescent="0.2">
      <c r="A29" s="8">
        <v>8674</v>
      </c>
      <c r="B29" s="9" t="s">
        <v>138</v>
      </c>
      <c r="C29" s="10">
        <v>43484</v>
      </c>
      <c r="D29" s="11">
        <v>154</v>
      </c>
      <c r="E29" s="12" t="s">
        <v>34</v>
      </c>
      <c r="F29" s="12" t="s">
        <v>34</v>
      </c>
      <c r="G29" s="12" t="s">
        <v>34</v>
      </c>
      <c r="H29" s="12" t="s">
        <v>35</v>
      </c>
      <c r="I29" s="11" t="s">
        <v>95</v>
      </c>
      <c r="J29" s="12" t="s">
        <v>96</v>
      </c>
      <c r="K29" s="13" t="s">
        <v>87</v>
      </c>
      <c r="L29" s="11" t="str">
        <f>"00036B"</f>
        <v>00036B</v>
      </c>
      <c r="M29" s="10">
        <v>42619</v>
      </c>
      <c r="N29" s="11" t="str">
        <f>""</f>
        <v/>
      </c>
      <c r="O29" s="10"/>
      <c r="P29" s="11" t="str">
        <f>""</f>
        <v/>
      </c>
      <c r="Q29" s="10"/>
      <c r="R29" s="11"/>
      <c r="S29" s="11" t="str">
        <f>""</f>
        <v/>
      </c>
      <c r="T29" s="10"/>
      <c r="U29" s="14">
        <v>2.0840000000000001</v>
      </c>
      <c r="V29" s="14">
        <v>0.1764</v>
      </c>
      <c r="W29" s="14">
        <v>1.9076</v>
      </c>
      <c r="X29" s="11">
        <v>329</v>
      </c>
      <c r="Y29" s="10">
        <v>43484</v>
      </c>
      <c r="Z29" s="11">
        <v>9481585222</v>
      </c>
      <c r="AA29" s="12" t="s">
        <v>147</v>
      </c>
      <c r="AB29" s="11" t="s">
        <v>98</v>
      </c>
      <c r="AC29" s="12" t="s">
        <v>99</v>
      </c>
      <c r="AD29" s="11" t="s">
        <v>42</v>
      </c>
      <c r="AE29" s="12" t="s">
        <v>43</v>
      </c>
      <c r="AF29" s="14">
        <f t="shared" si="0"/>
        <v>2.0840000000000001E-2</v>
      </c>
      <c r="AG29" s="11" t="s">
        <v>44</v>
      </c>
    </row>
    <row r="30" spans="1:33" x14ac:dyDescent="0.2">
      <c r="A30" s="8">
        <v>8675</v>
      </c>
      <c r="B30" s="9" t="s">
        <v>138</v>
      </c>
      <c r="C30" s="10">
        <v>43484</v>
      </c>
      <c r="D30" s="11">
        <v>154</v>
      </c>
      <c r="E30" s="12" t="s">
        <v>34</v>
      </c>
      <c r="F30" s="12" t="s">
        <v>34</v>
      </c>
      <c r="G30" s="12" t="s">
        <v>34</v>
      </c>
      <c r="H30" s="12" t="s">
        <v>35</v>
      </c>
      <c r="I30" s="11" t="s">
        <v>150</v>
      </c>
      <c r="J30" s="12" t="s">
        <v>151</v>
      </c>
      <c r="K30" s="13" t="s">
        <v>47</v>
      </c>
      <c r="L30" s="11" t="str">
        <f>"00036F"</f>
        <v>00036F</v>
      </c>
      <c r="M30" s="10">
        <v>42619</v>
      </c>
      <c r="N30" s="11" t="str">
        <f>"000030"</f>
        <v>000030</v>
      </c>
      <c r="O30" s="10">
        <v>43161</v>
      </c>
      <c r="P30" s="11" t="str">
        <f>""</f>
        <v/>
      </c>
      <c r="Q30" s="10"/>
      <c r="R30" s="11"/>
      <c r="S30" s="11" t="str">
        <f>""</f>
        <v/>
      </c>
      <c r="T30" s="10"/>
      <c r="U30" s="14">
        <v>12.1113</v>
      </c>
      <c r="V30" s="14">
        <v>1.3242799999999999</v>
      </c>
      <c r="W30" s="14">
        <v>10.78702</v>
      </c>
      <c r="X30" s="11">
        <v>329</v>
      </c>
      <c r="Y30" s="10">
        <v>43484</v>
      </c>
      <c r="Z30" s="11">
        <v>9481585222</v>
      </c>
      <c r="AA30" s="12" t="s">
        <v>147</v>
      </c>
      <c r="AB30" s="11" t="s">
        <v>98</v>
      </c>
      <c r="AC30" s="12" t="s">
        <v>99</v>
      </c>
      <c r="AD30" s="11" t="s">
        <v>42</v>
      </c>
      <c r="AE30" s="12" t="s">
        <v>43</v>
      </c>
      <c r="AF30" s="14">
        <f t="shared" si="0"/>
        <v>0.121113</v>
      </c>
      <c r="AG30" s="11" t="s">
        <v>44</v>
      </c>
    </row>
    <row r="31" spans="1:33" x14ac:dyDescent="0.2">
      <c r="A31" s="8">
        <v>8676</v>
      </c>
      <c r="B31" s="9" t="s">
        <v>138</v>
      </c>
      <c r="C31" s="10">
        <v>43484</v>
      </c>
      <c r="D31" s="11">
        <v>154</v>
      </c>
      <c r="E31" s="12" t="s">
        <v>34</v>
      </c>
      <c r="F31" s="12" t="s">
        <v>34</v>
      </c>
      <c r="G31" s="12" t="s">
        <v>34</v>
      </c>
      <c r="H31" s="12" t="s">
        <v>35</v>
      </c>
      <c r="I31" s="11" t="s">
        <v>152</v>
      </c>
      <c r="J31" s="12" t="s">
        <v>153</v>
      </c>
      <c r="K31" s="13" t="s">
        <v>87</v>
      </c>
      <c r="L31" s="11" t="str">
        <f>"00036D"</f>
        <v>00036D</v>
      </c>
      <c r="M31" s="10">
        <v>42619</v>
      </c>
      <c r="N31" s="11" t="str">
        <f>"000028"</f>
        <v>000028</v>
      </c>
      <c r="O31" s="10">
        <v>43161</v>
      </c>
      <c r="P31" s="11" t="str">
        <f>""</f>
        <v/>
      </c>
      <c r="Q31" s="10"/>
      <c r="R31" s="11"/>
      <c r="S31" s="11" t="str">
        <f>""</f>
        <v/>
      </c>
      <c r="T31" s="10"/>
      <c r="U31" s="14">
        <v>0.4214</v>
      </c>
      <c r="V31" s="14">
        <v>3.057E-2</v>
      </c>
      <c r="W31" s="14">
        <v>0.39083000000000001</v>
      </c>
      <c r="X31" s="11">
        <v>329</v>
      </c>
      <c r="Y31" s="10">
        <v>43484</v>
      </c>
      <c r="Z31" s="11">
        <v>9481585222</v>
      </c>
      <c r="AA31" s="12" t="s">
        <v>147</v>
      </c>
      <c r="AB31" s="11" t="s">
        <v>98</v>
      </c>
      <c r="AC31" s="12" t="s">
        <v>99</v>
      </c>
      <c r="AD31" s="11" t="s">
        <v>42</v>
      </c>
      <c r="AE31" s="12" t="s">
        <v>43</v>
      </c>
      <c r="AF31" s="14">
        <f t="shared" si="0"/>
        <v>4.2139999999999999E-3</v>
      </c>
      <c r="AG31" s="11" t="s">
        <v>44</v>
      </c>
    </row>
    <row r="32" spans="1:33" x14ac:dyDescent="0.2">
      <c r="A32" s="8">
        <v>8677</v>
      </c>
      <c r="B32" s="9" t="s">
        <v>138</v>
      </c>
      <c r="C32" s="10">
        <v>43484</v>
      </c>
      <c r="D32" s="11">
        <v>154</v>
      </c>
      <c r="E32" s="12" t="s">
        <v>34</v>
      </c>
      <c r="F32" s="12" t="s">
        <v>34</v>
      </c>
      <c r="G32" s="12" t="s">
        <v>34</v>
      </c>
      <c r="H32" s="12" t="s">
        <v>35</v>
      </c>
      <c r="I32" s="11" t="s">
        <v>154</v>
      </c>
      <c r="J32" s="12" t="s">
        <v>155</v>
      </c>
      <c r="K32" s="13" t="s">
        <v>87</v>
      </c>
      <c r="L32" s="11" t="str">
        <f>"00036C"</f>
        <v>00036C</v>
      </c>
      <c r="M32" s="10">
        <v>42619</v>
      </c>
      <c r="N32" s="11" t="str">
        <f>"000027"</f>
        <v>000027</v>
      </c>
      <c r="O32" s="10">
        <v>43161</v>
      </c>
      <c r="P32" s="11" t="str">
        <f>""</f>
        <v/>
      </c>
      <c r="Q32" s="10"/>
      <c r="R32" s="11"/>
      <c r="S32" s="11" t="str">
        <f>""</f>
        <v/>
      </c>
      <c r="T32" s="10"/>
      <c r="U32" s="14">
        <v>0.94699999999999995</v>
      </c>
      <c r="V32" s="14">
        <v>6.7650000000000002E-2</v>
      </c>
      <c r="W32" s="14">
        <v>0.87934999999999997</v>
      </c>
      <c r="X32" s="11">
        <v>329</v>
      </c>
      <c r="Y32" s="10">
        <v>43484</v>
      </c>
      <c r="Z32" s="11">
        <v>9481585222</v>
      </c>
      <c r="AA32" s="12" t="s">
        <v>147</v>
      </c>
      <c r="AB32" s="11" t="s">
        <v>98</v>
      </c>
      <c r="AC32" s="12" t="s">
        <v>99</v>
      </c>
      <c r="AD32" s="11" t="s">
        <v>42</v>
      </c>
      <c r="AE32" s="12" t="s">
        <v>43</v>
      </c>
      <c r="AF32" s="14">
        <f t="shared" si="0"/>
        <v>9.4699999999999993E-3</v>
      </c>
      <c r="AG32" s="11" t="s">
        <v>44</v>
      </c>
    </row>
    <row r="33" spans="1:33" x14ac:dyDescent="0.2">
      <c r="A33" s="8">
        <v>8719</v>
      </c>
      <c r="B33" s="9" t="s">
        <v>138</v>
      </c>
      <c r="C33" s="10">
        <v>43486</v>
      </c>
      <c r="D33" s="11">
        <v>154</v>
      </c>
      <c r="E33" s="12" t="s">
        <v>34</v>
      </c>
      <c r="F33" s="12" t="s">
        <v>34</v>
      </c>
      <c r="G33" s="12" t="s">
        <v>34</v>
      </c>
      <c r="H33" s="12" t="s">
        <v>35</v>
      </c>
      <c r="I33" s="11" t="s">
        <v>156</v>
      </c>
      <c r="J33" s="12" t="s">
        <v>157</v>
      </c>
      <c r="K33" s="13" t="s">
        <v>158</v>
      </c>
      <c r="L33" s="11" t="str">
        <f>"000043"</f>
        <v>000043</v>
      </c>
      <c r="M33" s="10">
        <v>43308</v>
      </c>
      <c r="N33" s="11" t="str">
        <f>"000047"</f>
        <v>000047</v>
      </c>
      <c r="O33" s="10">
        <v>43448</v>
      </c>
      <c r="P33" s="11" t="str">
        <f>"000119"</f>
        <v>000119</v>
      </c>
      <c r="Q33" s="10">
        <v>43458</v>
      </c>
      <c r="R33" s="11"/>
      <c r="S33" s="11" t="str">
        <f>"008912"</f>
        <v>008912</v>
      </c>
      <c r="T33" s="10">
        <v>43484</v>
      </c>
      <c r="U33" s="14">
        <v>9.9429999999999996</v>
      </c>
      <c r="V33" s="14">
        <v>1.0712999999999999</v>
      </c>
      <c r="W33" s="14">
        <v>8.8717000000000006</v>
      </c>
      <c r="X33" s="11">
        <v>330</v>
      </c>
      <c r="Y33" s="10">
        <v>43486</v>
      </c>
      <c r="Z33" s="11">
        <v>9886197871</v>
      </c>
      <c r="AA33" s="12" t="s">
        <v>159</v>
      </c>
      <c r="AB33" s="11" t="s">
        <v>65</v>
      </c>
      <c r="AC33" s="12" t="s">
        <v>66</v>
      </c>
      <c r="AD33" s="11" t="s">
        <v>42</v>
      </c>
      <c r="AE33" s="12" t="s">
        <v>43</v>
      </c>
      <c r="AF33" s="14">
        <f t="shared" si="0"/>
        <v>9.9429999999999991E-2</v>
      </c>
      <c r="AG33" s="11" t="s">
        <v>67</v>
      </c>
    </row>
    <row r="34" spans="1:33" x14ac:dyDescent="0.2">
      <c r="A34" s="8">
        <v>8954</v>
      </c>
      <c r="B34" s="9" t="s">
        <v>160</v>
      </c>
      <c r="C34" s="10">
        <v>43500</v>
      </c>
      <c r="D34" s="11">
        <v>154</v>
      </c>
      <c r="E34" s="12" t="s">
        <v>34</v>
      </c>
      <c r="F34" s="12" t="s">
        <v>34</v>
      </c>
      <c r="G34" s="12" t="s">
        <v>34</v>
      </c>
      <c r="H34" s="12" t="s">
        <v>35</v>
      </c>
      <c r="I34" s="11" t="s">
        <v>161</v>
      </c>
      <c r="J34" s="12" t="s">
        <v>162</v>
      </c>
      <c r="K34" s="13" t="s">
        <v>141</v>
      </c>
      <c r="L34" s="11" t="str">
        <f>"000003"</f>
        <v>000003</v>
      </c>
      <c r="M34" s="10">
        <v>43359</v>
      </c>
      <c r="N34" s="11" t="str">
        <f>"000033"</f>
        <v>000033</v>
      </c>
      <c r="O34" s="10">
        <v>43359</v>
      </c>
      <c r="P34" s="11" t="str">
        <f>"000037"</f>
        <v>000037</v>
      </c>
      <c r="Q34" s="10">
        <v>43361</v>
      </c>
      <c r="R34" s="11"/>
      <c r="S34" s="11" t="str">
        <f>"008845"</f>
        <v>008845</v>
      </c>
      <c r="T34" s="10">
        <v>43484</v>
      </c>
      <c r="U34" s="14">
        <v>67.897300000000001</v>
      </c>
      <c r="V34" s="14">
        <v>5.8392499999999998</v>
      </c>
      <c r="W34" s="14">
        <v>62.058050000000001</v>
      </c>
      <c r="X34" s="11">
        <v>338</v>
      </c>
      <c r="Y34" s="10">
        <v>43500</v>
      </c>
      <c r="Z34" s="11">
        <v>9845290444</v>
      </c>
      <c r="AA34" s="12" t="s">
        <v>163</v>
      </c>
      <c r="AB34" s="11" t="s">
        <v>164</v>
      </c>
      <c r="AC34" s="12" t="s">
        <v>165</v>
      </c>
      <c r="AD34" s="11" t="s">
        <v>74</v>
      </c>
      <c r="AE34" s="12" t="s">
        <v>75</v>
      </c>
      <c r="AF34" s="14">
        <f t="shared" si="0"/>
        <v>0.67897300000000005</v>
      </c>
      <c r="AG34" s="11" t="s">
        <v>67</v>
      </c>
    </row>
    <row r="35" spans="1:33" x14ac:dyDescent="0.2">
      <c r="A35" s="8">
        <v>9048</v>
      </c>
      <c r="B35" s="9" t="s">
        <v>160</v>
      </c>
      <c r="C35" s="10">
        <v>43504</v>
      </c>
      <c r="D35" s="11">
        <v>154</v>
      </c>
      <c r="E35" s="12" t="s">
        <v>34</v>
      </c>
      <c r="F35" s="12" t="s">
        <v>34</v>
      </c>
      <c r="G35" s="12" t="s">
        <v>34</v>
      </c>
      <c r="H35" s="12" t="s">
        <v>35</v>
      </c>
      <c r="I35" s="11" t="s">
        <v>166</v>
      </c>
      <c r="J35" s="12" t="s">
        <v>167</v>
      </c>
      <c r="K35" s="13" t="s">
        <v>38</v>
      </c>
      <c r="L35" s="11" t="str">
        <f>"000040"</f>
        <v>000040</v>
      </c>
      <c r="M35" s="10">
        <v>43134</v>
      </c>
      <c r="N35" s="11" t="str">
        <f>"000049"</f>
        <v>000049</v>
      </c>
      <c r="O35" s="10">
        <v>43451</v>
      </c>
      <c r="P35" s="11" t="str">
        <f>"000117"</f>
        <v>000117</v>
      </c>
      <c r="Q35" s="10">
        <v>43454</v>
      </c>
      <c r="R35" s="11"/>
      <c r="S35" s="11" t="str">
        <f>"009156"</f>
        <v>009156</v>
      </c>
      <c r="T35" s="10">
        <v>43503</v>
      </c>
      <c r="U35" s="14">
        <v>4.9240000000000004</v>
      </c>
      <c r="V35" s="14">
        <v>0.20599999999999999</v>
      </c>
      <c r="W35" s="14">
        <v>4.718</v>
      </c>
      <c r="X35" s="11">
        <v>346</v>
      </c>
      <c r="Y35" s="10">
        <v>43504</v>
      </c>
      <c r="Z35" s="11">
        <v>9035274994</v>
      </c>
      <c r="AA35" s="12" t="s">
        <v>168</v>
      </c>
      <c r="AB35" s="11" t="s">
        <v>65</v>
      </c>
      <c r="AC35" s="12" t="s">
        <v>66</v>
      </c>
      <c r="AD35" s="11" t="s">
        <v>42</v>
      </c>
      <c r="AE35" s="12" t="s">
        <v>43</v>
      </c>
      <c r="AF35" s="14">
        <f t="shared" si="0"/>
        <v>4.9240000000000006E-2</v>
      </c>
      <c r="AG35" s="11" t="s">
        <v>89</v>
      </c>
    </row>
    <row r="36" spans="1:33" x14ac:dyDescent="0.2">
      <c r="A36" s="8">
        <v>9180</v>
      </c>
      <c r="B36" s="9" t="s">
        <v>160</v>
      </c>
      <c r="C36" s="10">
        <v>43510</v>
      </c>
      <c r="D36" s="11">
        <v>154</v>
      </c>
      <c r="E36" s="12" t="s">
        <v>34</v>
      </c>
      <c r="F36" s="12" t="s">
        <v>34</v>
      </c>
      <c r="G36" s="12" t="s">
        <v>34</v>
      </c>
      <c r="H36" s="12" t="s">
        <v>35</v>
      </c>
      <c r="I36" s="11" t="s">
        <v>169</v>
      </c>
      <c r="J36" s="12" t="s">
        <v>170</v>
      </c>
      <c r="K36" s="13" t="s">
        <v>47</v>
      </c>
      <c r="L36" s="11" t="str">
        <f>"000056"</f>
        <v>000056</v>
      </c>
      <c r="M36" s="10">
        <v>42995</v>
      </c>
      <c r="N36" s="11" t="str">
        <f>"000002"</f>
        <v>000002</v>
      </c>
      <c r="O36" s="10">
        <v>43218</v>
      </c>
      <c r="P36" s="11" t="str">
        <f>"000005"</f>
        <v>000005</v>
      </c>
      <c r="Q36" s="10">
        <v>43218</v>
      </c>
      <c r="R36" s="11"/>
      <c r="S36" s="11" t="str">
        <f>"009120"</f>
        <v>009120</v>
      </c>
      <c r="T36" s="10">
        <v>43502</v>
      </c>
      <c r="U36" s="14">
        <v>98.193359999999998</v>
      </c>
      <c r="V36" s="14">
        <v>8.4784500000000005</v>
      </c>
      <c r="W36" s="14">
        <v>89.714910000000003</v>
      </c>
      <c r="X36" s="11">
        <v>352</v>
      </c>
      <c r="Y36" s="10">
        <v>43510</v>
      </c>
      <c r="Z36" s="11">
        <v>9845290444</v>
      </c>
      <c r="AA36" s="12" t="s">
        <v>163</v>
      </c>
      <c r="AB36" s="11" t="s">
        <v>143</v>
      </c>
      <c r="AC36" s="12" t="s">
        <v>144</v>
      </c>
      <c r="AD36" s="11" t="s">
        <v>74</v>
      </c>
      <c r="AE36" s="12" t="s">
        <v>75</v>
      </c>
      <c r="AF36" s="14">
        <f t="shared" si="0"/>
        <v>0.98193359999999996</v>
      </c>
      <c r="AG36" s="11" t="s">
        <v>89</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2019-06-13T11:58:49Z</dcterms:modified>
</cp:coreProperties>
</file>