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anjunath.hl\Downloads\2019-20 Budget Input\Budget Performance Report 2018-19\Data for Openwork Page 2018-19 BPR\Contractor Bill Paid (BR)\"/>
    </mc:Choice>
  </mc:AlternateContent>
  <bookViews>
    <workbookView xWindow="0" yWindow="0" windowWidth="15360" windowHeight="7755"/>
  </bookViews>
  <sheets>
    <sheet name="1st Apr 2018 31st Mar 2019" sheetId="1" r:id="rId1"/>
  </sheets>
  <definedNames>
    <definedName name="_xlnm._FilterDatabase" localSheetId="0" hidden="1">'1st Apr 2018 31st Mar 2019'!$A$1:$AG$1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F57" i="1" l="1"/>
  <c r="S57" i="1"/>
  <c r="P57" i="1"/>
  <c r="N57" i="1"/>
  <c r="L57" i="1"/>
  <c r="AF56" i="1"/>
  <c r="S56" i="1"/>
  <c r="P56" i="1"/>
  <c r="N56" i="1"/>
  <c r="L56" i="1"/>
  <c r="AF55" i="1"/>
  <c r="S55" i="1"/>
  <c r="P55" i="1"/>
  <c r="N55" i="1"/>
  <c r="L55" i="1"/>
  <c r="AF54" i="1"/>
  <c r="S54" i="1"/>
  <c r="P54" i="1"/>
  <c r="N54" i="1"/>
  <c r="L54" i="1"/>
  <c r="AF53" i="1"/>
  <c r="S53" i="1"/>
  <c r="P53" i="1"/>
  <c r="N53" i="1"/>
  <c r="L53" i="1"/>
  <c r="AF52" i="1"/>
  <c r="S52" i="1"/>
  <c r="P52" i="1"/>
  <c r="N52" i="1"/>
  <c r="L52" i="1"/>
  <c r="AF51" i="1"/>
  <c r="S51" i="1"/>
  <c r="P51" i="1"/>
  <c r="N51" i="1"/>
  <c r="L51" i="1"/>
  <c r="AF50" i="1"/>
  <c r="S50" i="1"/>
  <c r="P50" i="1"/>
  <c r="N50" i="1"/>
  <c r="L50" i="1"/>
  <c r="AF49" i="1"/>
  <c r="S49" i="1"/>
  <c r="P49" i="1"/>
  <c r="N49" i="1"/>
  <c r="L49" i="1"/>
  <c r="AF48" i="1"/>
  <c r="S48" i="1"/>
  <c r="P48" i="1"/>
  <c r="N48" i="1"/>
  <c r="L48" i="1"/>
  <c r="AF47" i="1"/>
  <c r="S47" i="1"/>
  <c r="P47" i="1"/>
  <c r="N47" i="1"/>
  <c r="L47" i="1"/>
  <c r="AF46" i="1"/>
  <c r="S46" i="1"/>
  <c r="P46" i="1"/>
  <c r="N46" i="1"/>
  <c r="L46" i="1"/>
  <c r="AF45" i="1"/>
  <c r="S45" i="1"/>
  <c r="P45" i="1"/>
  <c r="N45" i="1"/>
  <c r="L45" i="1"/>
  <c r="AF44" i="1"/>
  <c r="S44" i="1"/>
  <c r="P44" i="1"/>
  <c r="N44" i="1"/>
  <c r="L44" i="1"/>
  <c r="AF43" i="1"/>
  <c r="S43" i="1"/>
  <c r="P43" i="1"/>
  <c r="N43" i="1"/>
  <c r="L43" i="1"/>
  <c r="AF42" i="1"/>
  <c r="S42" i="1"/>
  <c r="P42" i="1"/>
  <c r="N42" i="1"/>
  <c r="L42" i="1"/>
  <c r="AF41" i="1"/>
  <c r="S41" i="1"/>
  <c r="P41" i="1"/>
  <c r="N41" i="1"/>
  <c r="L41" i="1"/>
  <c r="AF40" i="1"/>
  <c r="S40" i="1"/>
  <c r="P40" i="1"/>
  <c r="N40" i="1"/>
  <c r="L40" i="1"/>
  <c r="AF39" i="1"/>
  <c r="S39" i="1"/>
  <c r="P39" i="1"/>
  <c r="N39" i="1"/>
  <c r="L39" i="1"/>
  <c r="AF38" i="1"/>
  <c r="S38" i="1"/>
  <c r="P38" i="1"/>
  <c r="N38" i="1"/>
  <c r="L38" i="1"/>
  <c r="AF37" i="1"/>
  <c r="S37" i="1"/>
  <c r="P37" i="1"/>
  <c r="N37" i="1"/>
  <c r="L37" i="1"/>
  <c r="AF36" i="1"/>
  <c r="S36" i="1"/>
  <c r="P36" i="1"/>
  <c r="N36" i="1"/>
  <c r="L36" i="1"/>
  <c r="AF35" i="1"/>
  <c r="S35" i="1"/>
  <c r="P35" i="1"/>
  <c r="N35" i="1"/>
  <c r="L35" i="1"/>
  <c r="AF34" i="1"/>
  <c r="S34" i="1"/>
  <c r="P34" i="1"/>
  <c r="N34" i="1"/>
  <c r="L34" i="1"/>
  <c r="AF33" i="1"/>
  <c r="S33" i="1"/>
  <c r="P33" i="1"/>
  <c r="N33" i="1"/>
  <c r="L33" i="1"/>
  <c r="AF32" i="1"/>
  <c r="S32" i="1"/>
  <c r="P32" i="1"/>
  <c r="N32" i="1"/>
  <c r="L32" i="1"/>
  <c r="AF31" i="1"/>
  <c r="S31" i="1"/>
  <c r="P31" i="1"/>
  <c r="N31" i="1"/>
  <c r="L31" i="1"/>
  <c r="AF30" i="1"/>
  <c r="S30" i="1"/>
  <c r="P30" i="1"/>
  <c r="N30" i="1"/>
  <c r="L30" i="1"/>
  <c r="AF29" i="1"/>
  <c r="S29" i="1"/>
  <c r="P29" i="1"/>
  <c r="N29" i="1"/>
  <c r="L29" i="1"/>
  <c r="S28" i="1"/>
  <c r="P28" i="1"/>
  <c r="N28" i="1"/>
  <c r="L28" i="1"/>
  <c r="S27" i="1"/>
  <c r="P27" i="1"/>
  <c r="N27" i="1"/>
  <c r="L27" i="1"/>
  <c r="S26" i="1"/>
  <c r="P26" i="1"/>
  <c r="N26" i="1"/>
  <c r="L26" i="1"/>
  <c r="S25" i="1"/>
  <c r="P25" i="1"/>
  <c r="N25" i="1"/>
  <c r="L25" i="1"/>
  <c r="S24" i="1"/>
  <c r="P24" i="1"/>
  <c r="N24" i="1"/>
  <c r="L24" i="1"/>
  <c r="S23" i="1"/>
  <c r="P23" i="1"/>
  <c r="N23" i="1"/>
  <c r="L23" i="1"/>
  <c r="S22" i="1"/>
  <c r="P22" i="1"/>
  <c r="N22" i="1"/>
  <c r="L22" i="1"/>
  <c r="S21" i="1"/>
  <c r="P21" i="1"/>
  <c r="N21" i="1"/>
  <c r="L21" i="1"/>
  <c r="S20" i="1"/>
  <c r="P20" i="1"/>
  <c r="N20" i="1"/>
  <c r="L20" i="1"/>
  <c r="S19" i="1"/>
  <c r="P19" i="1"/>
  <c r="N19" i="1"/>
  <c r="L19" i="1"/>
  <c r="S18" i="1"/>
  <c r="P18" i="1"/>
  <c r="N18" i="1"/>
  <c r="L18" i="1"/>
  <c r="S17" i="1"/>
  <c r="P17" i="1"/>
  <c r="N17" i="1"/>
  <c r="L17" i="1"/>
  <c r="S16" i="1"/>
  <c r="P16" i="1"/>
  <c r="N16" i="1"/>
  <c r="L16" i="1"/>
  <c r="S15" i="1"/>
  <c r="P15" i="1"/>
  <c r="N15" i="1"/>
  <c r="L15" i="1"/>
  <c r="S14" i="1"/>
  <c r="P14" i="1"/>
  <c r="N14" i="1"/>
  <c r="L14" i="1"/>
  <c r="S13" i="1"/>
  <c r="P13" i="1"/>
  <c r="N13" i="1"/>
  <c r="L13" i="1"/>
  <c r="S12" i="1"/>
  <c r="P12" i="1"/>
  <c r="N12" i="1"/>
  <c r="L12" i="1"/>
  <c r="S11" i="1"/>
  <c r="P11" i="1"/>
  <c r="N11" i="1"/>
  <c r="L11" i="1"/>
  <c r="S10" i="1"/>
  <c r="P10" i="1"/>
  <c r="N10" i="1"/>
  <c r="L10" i="1"/>
  <c r="S9" i="1"/>
  <c r="P9" i="1"/>
  <c r="N9" i="1"/>
  <c r="L9" i="1"/>
  <c r="S8" i="1"/>
  <c r="P8" i="1"/>
  <c r="N8" i="1"/>
  <c r="L8" i="1"/>
  <c r="S7" i="1"/>
  <c r="P7" i="1"/>
  <c r="N7" i="1"/>
  <c r="L7" i="1"/>
  <c r="S6" i="1"/>
  <c r="P6" i="1"/>
  <c r="N6" i="1"/>
  <c r="L6" i="1"/>
  <c r="S5" i="1"/>
  <c r="P5" i="1"/>
  <c r="N5" i="1"/>
  <c r="L5" i="1"/>
  <c r="S4" i="1"/>
  <c r="P4" i="1"/>
  <c r="N4" i="1"/>
  <c r="L4" i="1"/>
  <c r="S3" i="1"/>
  <c r="P3" i="1"/>
  <c r="N3" i="1"/>
  <c r="L3" i="1"/>
  <c r="S2" i="1"/>
  <c r="P2" i="1"/>
  <c r="N2" i="1"/>
  <c r="L2" i="1"/>
</calcChain>
</file>

<file path=xl/sharedStrings.xml><?xml version="1.0" encoding="utf-8"?>
<sst xmlns="http://schemas.openxmlformats.org/spreadsheetml/2006/main" count="817" uniqueCount="217">
  <si>
    <t>SL No</t>
  </si>
  <si>
    <t>Month</t>
  </si>
  <si>
    <t>Date</t>
  </si>
  <si>
    <t>Ward_No</t>
  </si>
  <si>
    <t>Ward_Name</t>
  </si>
  <si>
    <t>Sub_Division</t>
  </si>
  <si>
    <t>Division</t>
  </si>
  <si>
    <t>Zone</t>
  </si>
  <si>
    <t>Job_Code</t>
  </si>
  <si>
    <t>Job_Description</t>
  </si>
  <si>
    <t>Category</t>
  </si>
  <si>
    <t>Work_ Order</t>
  </si>
  <si>
    <t>Work_Order_Date</t>
  </si>
  <si>
    <t>Sub Bill Register_No</t>
  </si>
  <si>
    <t>Sub Bill Register_Date</t>
  </si>
  <si>
    <t>Bill Register No</t>
  </si>
  <si>
    <t>Bill Register Date</t>
  </si>
  <si>
    <t>Job Code Year</t>
  </si>
  <si>
    <t>CBR_No</t>
  </si>
  <si>
    <t>CBR_Date</t>
  </si>
  <si>
    <t>Gross_ Amount In Lakhs</t>
  </si>
  <si>
    <t>Deduction In Lakhs</t>
  </si>
  <si>
    <t>Nett_ Amount In Lakhs</t>
  </si>
  <si>
    <t>RTGS_No</t>
  </si>
  <si>
    <t>RTGS_Date</t>
  </si>
  <si>
    <t>Contractor Number</t>
  </si>
  <si>
    <t>Contractor_Name</t>
  </si>
  <si>
    <t>P_Code</t>
  </si>
  <si>
    <t>Budget_Head</t>
  </si>
  <si>
    <t>Budget_ Head_ID</t>
  </si>
  <si>
    <t>Engineer Details</t>
  </si>
  <si>
    <t>Gross_ Amount In Cr</t>
  </si>
  <si>
    <t xml:space="preserve">Current/Pending /Spill over </t>
  </si>
  <si>
    <t>April</t>
  </si>
  <si>
    <t>Gali Anjenaya Temple Ward</t>
  </si>
  <si>
    <t>Gaali Anjaneya Temple</t>
  </si>
  <si>
    <t>Vijaya Nagara</t>
  </si>
  <si>
    <t>South</t>
  </si>
  <si>
    <t>157-17-000037</t>
  </si>
  <si>
    <t>Consultancy services for preparation of DPR for the work of Improvements to drain, footpath and Asphalting to selected Arterial, Sub-Arterial Roads and other connecting roads in South zone South 2016-17-Package No.12 (Ward no 157 and 158)</t>
  </si>
  <si>
    <t>Footpaths &amp; Walkability</t>
  </si>
  <si>
    <t>B M Rangegowda</t>
  </si>
  <si>
    <t>P3158</t>
  </si>
  <si>
    <t>SIP Infrastructure Project works</t>
  </si>
  <si>
    <t>ddo265</t>
  </si>
  <si>
    <t xml:space="preserve"> Assistant Executive Engineer Gali Anjenaya Temple South Zone</t>
  </si>
  <si>
    <t>Pending</t>
  </si>
  <si>
    <t>157-18-000010</t>
  </si>
  <si>
    <t>Providing LED lights in Vijayanagar Constituency</t>
  </si>
  <si>
    <t>Executive Engineer-3 (Karnataka Rural Infrastructure Development Ltd)</t>
  </si>
  <si>
    <t>P3111</t>
  </si>
  <si>
    <t>State Finance Commission Untied Grant Works</t>
  </si>
  <si>
    <t>ddo258</t>
  </si>
  <si>
    <t xml:space="preserve"> Executive Engineer Electrical South Zone</t>
  </si>
  <si>
    <t>157-15-000015</t>
  </si>
  <si>
    <t xml:space="preserve">Providing improvements to Government school building in Ward No.157 </t>
  </si>
  <si>
    <t>Other Ward Works</t>
  </si>
  <si>
    <t>Technical Manager-2</t>
  </si>
  <si>
    <t>P2415</t>
  </si>
  <si>
    <t>Reserve fund for TandF Committee</t>
  </si>
  <si>
    <t>May</t>
  </si>
  <si>
    <t>157-16-000020</t>
  </si>
  <si>
    <t>H T Power Supply to Deepanjali nager Lake Treatment Plant in ward no 157</t>
  </si>
  <si>
    <t>Lakes</t>
  </si>
  <si>
    <t>M/s. Channe Gowda, Lakshmi Narasimha Electricals</t>
  </si>
  <si>
    <t>P0541</t>
  </si>
  <si>
    <t>Emergency Reserve Fund</t>
  </si>
  <si>
    <t>157-16-000012</t>
  </si>
  <si>
    <t xml:space="preserve">Improvements to Drain and Culverts and Providing Covering Slab Iyanna Setty Layout and Hosakerehalli road Stating Point in Mysore road Ward No.157 </t>
  </si>
  <si>
    <t>N Mohan</t>
  </si>
  <si>
    <t>P1771</t>
  </si>
  <si>
    <t>Zone Works - POW Works</t>
  </si>
  <si>
    <t>157-18-000004</t>
  </si>
  <si>
    <t>Improvments to CC roads at Narasimhaiah colony from weigh bridge to manoj cargo bridge at New Timber Yard layout ward no.157</t>
  </si>
  <si>
    <t>Roads &amp; Drivablility</t>
  </si>
  <si>
    <t>Spill Over</t>
  </si>
  <si>
    <t>157-18-000007</t>
  </si>
  <si>
    <t>Providing light roofing to open yard in Govt school Byatarayanapura in Ward 157.</t>
  </si>
  <si>
    <t>Technical manager-2</t>
  </si>
  <si>
    <t>157-17-000004</t>
  </si>
  <si>
    <t>Construction of New public toilet at Timber yard 1st main road near way bridge in ward no 157</t>
  </si>
  <si>
    <t>Health &amp; Sanitation</t>
  </si>
  <si>
    <t>M/s M S Engineering Construction</t>
  </si>
  <si>
    <t>P3110</t>
  </si>
  <si>
    <t>14th Finance Commission Grant Works</t>
  </si>
  <si>
    <t>Current</t>
  </si>
  <si>
    <t>June</t>
  </si>
  <si>
    <t>157-17-000040</t>
  </si>
  <si>
    <t>Engagement of Gangman and Hiring of Tractor Tippers for cleaning and Maintenance of road side drains and other cleaning works in works in ward no 157</t>
  </si>
  <si>
    <t>Ashoka</t>
  </si>
  <si>
    <t>July</t>
  </si>
  <si>
    <t>157-18-000006</t>
  </si>
  <si>
    <t>Providing CC Camera different locations in Ward 157</t>
  </si>
  <si>
    <t>Crime &amp; Safety</t>
  </si>
  <si>
    <t>157-16-000011</t>
  </si>
  <si>
    <t xml:space="preserve">Improvements to L Shape Drain in 1st and 2nd Main Kasturiba Nagara in Ward No.157 </t>
  </si>
  <si>
    <t>Ravichandra</t>
  </si>
  <si>
    <t>157-18-000002</t>
  </si>
  <si>
    <t>Drilling of new borewells in ward no.157 Vijayanagara Constituency.</t>
  </si>
  <si>
    <t>Water &amp; Sanitary</t>
  </si>
  <si>
    <t>157-16-000002</t>
  </si>
  <si>
    <t>Operation and Maintenance of Street Lighting System in Ward No.157 Package S-16 of South Zone</t>
  </si>
  <si>
    <t>Sri Swastik Electricals</t>
  </si>
  <si>
    <t>P0300</t>
  </si>
  <si>
    <t>M and R to Street Lights - Replacement of Burnt Bulbs etc. (Package)</t>
  </si>
  <si>
    <t>157-15-000004</t>
  </si>
  <si>
    <t xml:space="preserve">Providing Drain and roads at Maramma Temple narrow roads in Ward No.157 </t>
  </si>
  <si>
    <t>157-18-000003</t>
  </si>
  <si>
    <t>Providing name board, stickers in ward no. 157 at Vijayanagara constituency at different locations.</t>
  </si>
  <si>
    <t>August</t>
  </si>
  <si>
    <t>157-17-000001</t>
  </si>
  <si>
    <t>Improvements and providing children play equipments to parks in ward 157</t>
  </si>
  <si>
    <t>Trees, Parks &amp; Playgrounds</t>
  </si>
  <si>
    <t>KRIDL</t>
  </si>
  <si>
    <t>P0190</t>
  </si>
  <si>
    <t>Works sanctioned by Hon Mayor</t>
  </si>
  <si>
    <t>ddo422</t>
  </si>
  <si>
    <t xml:space="preserve"> Executive Engineer Project - South Zone</t>
  </si>
  <si>
    <t>157-17-000002</t>
  </si>
  <si>
    <t>Improvements and providing Outdoor gym equipments to parks in ward 157</t>
  </si>
  <si>
    <t>157-17-000024</t>
  </si>
  <si>
    <t>Annual Maintenance to Govt School buildings at Byatarayanapura in Ward No.157</t>
  </si>
  <si>
    <t>Pradeep S Biradar</t>
  </si>
  <si>
    <t>157-17-000010</t>
  </si>
  <si>
    <t>Annual Maintenance of BBMP Building at Telecom Layout in Ward No.157</t>
  </si>
  <si>
    <t>J Manjeshgowda</t>
  </si>
  <si>
    <t>157-17-000011</t>
  </si>
  <si>
    <t>Providing Rain water harvesting pits near water purification plants in Ward No.157</t>
  </si>
  <si>
    <t>Rain Water Harvestin</t>
  </si>
  <si>
    <t>September</t>
  </si>
  <si>
    <t>157-16-000016</t>
  </si>
  <si>
    <t>Repairs and improvements to existing Borewells in ward limits of ward no 157</t>
  </si>
  <si>
    <t>Pradeep Biradar</t>
  </si>
  <si>
    <t>P1802</t>
  </si>
  <si>
    <t>Water Supply New Areas</t>
  </si>
  <si>
    <t>157-17-000015</t>
  </si>
  <si>
    <t>Providing urgent repair works to Maternity Hospital building of Kasturiba Nagar in Ward No.157</t>
  </si>
  <si>
    <t>157-17-000009</t>
  </si>
  <si>
    <t>Annual Maintainance of BBMP Building at Byatarayanapura in Ward No.157</t>
  </si>
  <si>
    <t>Chethankumar H S</t>
  </si>
  <si>
    <t>157-13-000007</t>
  </si>
  <si>
    <t xml:space="preserve">Improvements and Reconstruction of side drains and CD works in Road near Ambedkar Bhavana at Raghava Nagara in Ward No.157 </t>
  </si>
  <si>
    <t>T N Harishkumar</t>
  </si>
  <si>
    <t>157-16-000015</t>
  </si>
  <si>
    <t>Construction of Prayer hall to Moogu Maramma temple in Narasimhaiah badavane in W-157.</t>
  </si>
  <si>
    <t>Rajeev C R</t>
  </si>
  <si>
    <t>157-17-000008</t>
  </si>
  <si>
    <t>Demolishing of existing delapidated SSM Drain and construction of RCC Drain to SWD and CC roads in Gajendra Nagar in Ward No.157</t>
  </si>
  <si>
    <t>157-17-000022</t>
  </si>
  <si>
    <t>Providing CC to Dead end North side conservancy road of 1st Main of MM Road Junction in Ward No.157</t>
  </si>
  <si>
    <t>S H Raghavendra</t>
  </si>
  <si>
    <t>October</t>
  </si>
  <si>
    <t>157-17-000007</t>
  </si>
  <si>
    <t>Emergency works in Ward limits 2016-017</t>
  </si>
  <si>
    <t>157-18-000001</t>
  </si>
  <si>
    <t>Improvements and other development works to parks in ward no 157 Gali Anjaneya swamy temple</t>
  </si>
  <si>
    <t>Technical Manager KRIDL</t>
  </si>
  <si>
    <t>157-18-000030</t>
  </si>
  <si>
    <t>Providing LED Street lights in ward no 157</t>
  </si>
  <si>
    <t>Executive Engineer -3, KRIDL</t>
  </si>
  <si>
    <t>P3290</t>
  </si>
  <si>
    <t>14th Finance Commission Works - Providing Street Lights and Maintenance</t>
  </si>
  <si>
    <t>157-17-000025</t>
  </si>
  <si>
    <t>Reconstruction of raising of culverts a approaches in 2nd main Timber Yard Layout Near SRS Transports in ward no 157</t>
  </si>
  <si>
    <t>M/s KRIDL,</t>
  </si>
  <si>
    <t>P3167</t>
  </si>
  <si>
    <t>Special Development works in ward No.119, 124, 131, 133, 157, 171, 177, 181, 192, 184, 185, 194, 155, 105, 90, 91, 92, 98, 09, 11, 02, 65 (Rs.100 lakhs per ward)</t>
  </si>
  <si>
    <t>157-18-000053</t>
  </si>
  <si>
    <t>Construction of U Shape drain MCT and Narasimhaiah Colony near shani Mahatma Temple in ward no 157</t>
  </si>
  <si>
    <t>M/s KRIDL</t>
  </si>
  <si>
    <t>P1878</t>
  </si>
  <si>
    <t>18per - Works (Bhagyajyothi, Sooru / Neeru Yojane and General) (54 Lakhs / New Wards)</t>
  </si>
  <si>
    <t>157-18-000052</t>
  </si>
  <si>
    <t>Detailed Estimate for preparation of site and improvements to surronding area of Indira canteren in the premises of IPP Hospital Muneshwara Block in ward no 157 Gali Anjaneya Temple</t>
  </si>
  <si>
    <t>Indira Canteen</t>
  </si>
  <si>
    <t>P3106</t>
  </si>
  <si>
    <t>Nagarothana Works</t>
  </si>
  <si>
    <t>November</t>
  </si>
  <si>
    <t>157-17-000020</t>
  </si>
  <si>
    <t>Providing resurfacing to CC road opp to Gove School parallel to Bytarayanapura Main road in Ward No.157</t>
  </si>
  <si>
    <t>December</t>
  </si>
  <si>
    <t>157-14-000028</t>
  </si>
  <si>
    <t xml:space="preserve">Construction of RCC Drain with B.S.Slab coverings, Kerb stone in Byatarayanapura Main Road (From Byatarayanapura Police Station to Narasimmaiah Badavane road cross) by utilizing availanale materials from </t>
  </si>
  <si>
    <t>157-16-000022</t>
  </si>
  <si>
    <t>Providing CC Roads at sanjaynagar slum and MCT quarters slum in ward no 157</t>
  </si>
  <si>
    <t>Dilip Govind</t>
  </si>
  <si>
    <t>157-18-000056</t>
  </si>
  <si>
    <t>Improvements to internal roads in and around sanjya Nagar slum in ward no 157</t>
  </si>
  <si>
    <t>157-18-000054</t>
  </si>
  <si>
    <t>Construction of U Shape drain and improvements sanjaya Nagara slum at tank bund road in ward no 157</t>
  </si>
  <si>
    <t>157-18-000055</t>
  </si>
  <si>
    <t>Construction of U Shape drain in sanjaya nagara slum near Ambedkar Bhavana in ward no 157</t>
  </si>
  <si>
    <t>157-18-000011</t>
  </si>
  <si>
    <t>Drilling of Borewells and providing water supply connection to water scarcity area in ward no 157 Gali Annjaneya Temple</t>
  </si>
  <si>
    <t>January</t>
  </si>
  <si>
    <t>Sri Machala Pampapathy (M/s Sapience Consultants)</t>
  </si>
  <si>
    <t>February</t>
  </si>
  <si>
    <t>157-18-000057</t>
  </si>
  <si>
    <t>Providing Borewell and water supply connection in AK colony Bytarayanapura in ward no 157</t>
  </si>
  <si>
    <t>157-18-000058</t>
  </si>
  <si>
    <t>Providing Borewell and water supply connection to Narasimhaiah colony in ward no 157</t>
  </si>
  <si>
    <t>157-17-000018</t>
  </si>
  <si>
    <t>Providing L Shape drain and CC Road behind Govt School road in Ward No.157</t>
  </si>
  <si>
    <t>Pushpagiri Constn (N Girish)</t>
  </si>
  <si>
    <t>157-17-000019</t>
  </si>
  <si>
    <t xml:space="preserve">Providing Improvements to drain infront of Patel Gullappa School in Ward No.157 </t>
  </si>
  <si>
    <t>March</t>
  </si>
  <si>
    <t>157-17-000041</t>
  </si>
  <si>
    <t>Providing CC Camera at Garbage Block Spots in ward no 157</t>
  </si>
  <si>
    <t>Jagadeesh G V (Trisha Electricals)</t>
  </si>
  <si>
    <t>157-17-000012</t>
  </si>
  <si>
    <t>Providing CC road and RCC Drain at selected reaches in Ganapathi Nagara in Ward No.157</t>
  </si>
  <si>
    <t>S H Anilkumar</t>
  </si>
  <si>
    <t>157-14-000030</t>
  </si>
  <si>
    <t xml:space="preserve">Construction of RCC Drain with B.S.Slab coverings, Kerb stone in Byatarayanapura Main Road (From 3rd cross to AK Colony cross) by utilizing availanale materials from existing drain </t>
  </si>
  <si>
    <t>157-17-000016</t>
  </si>
  <si>
    <t>Providing CC road to near Abaya Anjaneya Swamy Temple in Avalahalli in Ward No.157</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</si>
</sst>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theme="1"/>
      <name val="Calibri"/>
      <family val="2"/>
      <scheme val="minor"/>
    </font>
    <font>
      <b/>
      <sz val="10"/>
      <color theme="1"/>
      <name val="Calibri"/>
      <family val="2"/>
      <scheme val="minor"/>
    </font>
    <font>
      <sz val="10"/>
      <color theme="1"/>
      <name val="Calibri"/>
      <family val="2"/>
      <scheme val="minor"/>
    </font>
  </fonts>
  <fills count="3">
    <fill>
      <patternFill patternType="none"/>
    </fill>
    <fill>
      <patternFill patternType="gray125"/>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5">
    <xf numFmtId="0" fontId="0" fillId="0" borderId="0" xfId="0"/>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2" fillId="0" borderId="0" xfId="0" applyFont="1" applyAlignment="1">
      <alignment horizontal="center" vertical="center"/>
    </xf>
    <xf numFmtId="0" fontId="2" fillId="0" borderId="0" xfId="0" applyFont="1"/>
    <xf numFmtId="0" fontId="2" fillId="0" borderId="0" xfId="0" applyFont="1" applyAlignment="1">
      <alignment horizontal="center"/>
    </xf>
    <xf numFmtId="0" fontId="2" fillId="0" borderId="0" xfId="0" applyFont="1" applyAlignment="1">
      <alignment horizontal="left"/>
    </xf>
    <xf numFmtId="0" fontId="2" fillId="0" borderId="0" xfId="0" applyFont="1" applyAlignment="1">
      <alignment horizontal="right"/>
    </xf>
    <xf numFmtId="1" fontId="2" fillId="0" borderId="1" xfId="0" applyNumberFormat="1" applyFont="1" applyBorder="1" applyAlignment="1">
      <alignment horizontal="left" vertical="center"/>
    </xf>
    <xf numFmtId="15" fontId="2" fillId="0" borderId="1" xfId="0" applyNumberFormat="1" applyFont="1" applyBorder="1" applyAlignment="1">
      <alignment horizontal="left" vertical="center"/>
    </xf>
    <xf numFmtId="15" fontId="2" fillId="0" borderId="1" xfId="0" applyNumberFormat="1"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0" borderId="1" xfId="0" applyFont="1" applyFill="1" applyBorder="1" applyAlignment="1">
      <alignment horizontal="left" vertical="center"/>
    </xf>
    <xf numFmtId="2" fontId="2" fillId="0" borderId="1" xfId="0" applyNumberFormat="1" applyFont="1" applyBorder="1" applyAlignment="1">
      <alignment horizontal="righ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57"/>
  <sheetViews>
    <sheetView tabSelected="1" workbookViewId="0">
      <pane ySplit="1" topLeftCell="A2" activePane="bottomLeft" state="frozen"/>
      <selection activeCell="H1" sqref="H1"/>
      <selection pane="bottomLeft" activeCell="F11" sqref="F11"/>
    </sheetView>
  </sheetViews>
  <sheetFormatPr defaultRowHeight="12.75" x14ac:dyDescent="0.2"/>
  <cols>
    <col min="1" max="1" width="6" style="5" bestFit="1" customWidth="1"/>
    <col min="2" max="2" width="9.140625" style="5" bestFit="1" customWidth="1"/>
    <col min="3" max="3" width="9.5703125" style="5" customWidth="1"/>
    <col min="4" max="4" width="8.42578125" style="5" customWidth="1"/>
    <col min="5" max="5" width="16.28515625" style="6" bestFit="1" customWidth="1"/>
    <col min="6" max="6" width="10.7109375" style="6" bestFit="1" customWidth="1"/>
    <col min="7" max="8" width="9.140625" style="6" bestFit="1" customWidth="1"/>
    <col min="9" max="9" width="14.85546875" style="5" customWidth="1"/>
    <col min="10" max="10" width="14.140625" style="4" customWidth="1"/>
    <col min="11" max="11" width="22.85546875" style="5" bestFit="1" customWidth="1"/>
    <col min="12" max="12" width="7.140625" style="5" customWidth="1"/>
    <col min="13" max="13" width="9.7109375" style="5" customWidth="1"/>
    <col min="14" max="14" width="11.85546875" style="5" customWidth="1"/>
    <col min="15" max="15" width="9.42578125" style="5" customWidth="1"/>
    <col min="16" max="16" width="10.28515625" style="5" customWidth="1"/>
    <col min="17" max="17" width="10" style="5" customWidth="1"/>
    <col min="18" max="18" width="7.85546875" style="5" customWidth="1"/>
    <col min="19" max="20" width="9.5703125" style="5" bestFit="1" customWidth="1"/>
    <col min="21" max="21" width="12.7109375" style="7" customWidth="1"/>
    <col min="22" max="22" width="9" style="7" bestFit="1" customWidth="1"/>
    <col min="23" max="23" width="12.140625" style="7" customWidth="1"/>
    <col min="24" max="24" width="6.140625" style="5" customWidth="1"/>
    <col min="25" max="25" width="9.5703125" style="5" bestFit="1" customWidth="1"/>
    <col min="26" max="26" width="11.7109375" style="5" customWidth="1"/>
    <col min="27" max="27" width="18.42578125" style="4" customWidth="1"/>
    <col min="28" max="28" width="7.85546875" style="5" customWidth="1"/>
    <col min="29" max="29" width="16.85546875" style="4" customWidth="1"/>
    <col min="30" max="30" width="9.140625" style="5" customWidth="1"/>
    <col min="31" max="31" width="14.140625" style="4" customWidth="1"/>
    <col min="32" max="32" width="11.42578125" style="5" bestFit="1" customWidth="1"/>
    <col min="33" max="33" width="14" style="5" customWidth="1"/>
    <col min="34" max="16384" width="9.140625" style="4"/>
  </cols>
  <sheetData>
    <row r="1" spans="1:33" s="3" customFormat="1" ht="24" customHeight="1" x14ac:dyDescent="0.25">
      <c r="A1" s="1" t="s">
        <v>0</v>
      </c>
      <c r="B1" s="1" t="s">
        <v>1</v>
      </c>
      <c r="C1" s="1" t="s">
        <v>2</v>
      </c>
      <c r="D1" s="1" t="s">
        <v>3</v>
      </c>
      <c r="E1" s="1" t="s">
        <v>4</v>
      </c>
      <c r="F1" s="1" t="s">
        <v>5</v>
      </c>
      <c r="G1" s="1" t="s">
        <v>6</v>
      </c>
      <c r="H1" s="1" t="s">
        <v>7</v>
      </c>
      <c r="I1" s="1" t="s">
        <v>8</v>
      </c>
      <c r="J1" s="1" t="s">
        <v>9</v>
      </c>
      <c r="K1" s="1" t="s">
        <v>10</v>
      </c>
      <c r="L1" s="2" t="s">
        <v>11</v>
      </c>
      <c r="M1" s="2" t="s">
        <v>12</v>
      </c>
      <c r="N1" s="2" t="s">
        <v>13</v>
      </c>
      <c r="O1" s="2" t="s">
        <v>14</v>
      </c>
      <c r="P1" s="2" t="s">
        <v>15</v>
      </c>
      <c r="Q1" s="2" t="s">
        <v>16</v>
      </c>
      <c r="R1" s="2" t="s">
        <v>17</v>
      </c>
      <c r="S1" s="1" t="s">
        <v>18</v>
      </c>
      <c r="T1" s="1" t="s">
        <v>19</v>
      </c>
      <c r="U1" s="2" t="s">
        <v>20</v>
      </c>
      <c r="V1" s="2" t="s">
        <v>21</v>
      </c>
      <c r="W1" s="2" t="s">
        <v>22</v>
      </c>
      <c r="X1" s="2" t="s">
        <v>23</v>
      </c>
      <c r="Y1" s="1" t="s">
        <v>24</v>
      </c>
      <c r="Z1" s="2" t="s">
        <v>25</v>
      </c>
      <c r="AA1" s="1" t="s">
        <v>26</v>
      </c>
      <c r="AB1" s="1" t="s">
        <v>27</v>
      </c>
      <c r="AC1" s="1" t="s">
        <v>28</v>
      </c>
      <c r="AD1" s="2" t="s">
        <v>29</v>
      </c>
      <c r="AE1" s="1" t="s">
        <v>30</v>
      </c>
      <c r="AF1" s="2" t="s">
        <v>31</v>
      </c>
      <c r="AG1" s="2" t="s">
        <v>32</v>
      </c>
    </row>
    <row r="2" spans="1:33" x14ac:dyDescent="0.2">
      <c r="A2" s="8">
        <v>223</v>
      </c>
      <c r="B2" s="9" t="s">
        <v>33</v>
      </c>
      <c r="C2" s="10">
        <v>43195</v>
      </c>
      <c r="D2" s="11">
        <v>157</v>
      </c>
      <c r="E2" s="12" t="s">
        <v>34</v>
      </c>
      <c r="F2" s="12" t="s">
        <v>35</v>
      </c>
      <c r="G2" s="12" t="s">
        <v>36</v>
      </c>
      <c r="H2" s="12" t="s">
        <v>37</v>
      </c>
      <c r="I2" s="11" t="s">
        <v>38</v>
      </c>
      <c r="J2" s="12" t="s">
        <v>39</v>
      </c>
      <c r="K2" s="13" t="s">
        <v>40</v>
      </c>
      <c r="L2" s="11" t="str">
        <f>"000005"</f>
        <v>000005</v>
      </c>
      <c r="M2" s="10">
        <v>42830</v>
      </c>
      <c r="N2" s="11" t="str">
        <f>"000002"</f>
        <v>000002</v>
      </c>
      <c r="O2" s="10">
        <v>42830</v>
      </c>
      <c r="P2" s="11" t="str">
        <f>"000002"</f>
        <v>000002</v>
      </c>
      <c r="Q2" s="10">
        <v>42830</v>
      </c>
      <c r="R2" s="11">
        <v>17</v>
      </c>
      <c r="S2" s="11" t="str">
        <f>"002110"</f>
        <v>002110</v>
      </c>
      <c r="T2" s="10">
        <v>42878</v>
      </c>
      <c r="U2" s="14">
        <v>94.022040000000004</v>
      </c>
      <c r="V2" s="14">
        <v>2.7244600000000001</v>
      </c>
      <c r="W2" s="14">
        <v>91.297579999999996</v>
      </c>
      <c r="X2" s="11">
        <v>6</v>
      </c>
      <c r="Y2" s="10">
        <v>43195</v>
      </c>
      <c r="Z2" s="11">
        <v>9886112131</v>
      </c>
      <c r="AA2" s="12" t="s">
        <v>41</v>
      </c>
      <c r="AB2" s="11" t="s">
        <v>42</v>
      </c>
      <c r="AC2" s="12" t="s">
        <v>43</v>
      </c>
      <c r="AD2" s="11" t="s">
        <v>44</v>
      </c>
      <c r="AE2" s="12" t="s">
        <v>45</v>
      </c>
      <c r="AF2" s="14">
        <v>0.94022040000000007</v>
      </c>
      <c r="AG2" s="11" t="s">
        <v>46</v>
      </c>
    </row>
    <row r="3" spans="1:33" x14ac:dyDescent="0.2">
      <c r="A3" s="8">
        <v>224</v>
      </c>
      <c r="B3" s="9" t="s">
        <v>33</v>
      </c>
      <c r="C3" s="10">
        <v>43195</v>
      </c>
      <c r="D3" s="11">
        <v>157</v>
      </c>
      <c r="E3" s="12" t="s">
        <v>34</v>
      </c>
      <c r="F3" s="12" t="s">
        <v>35</v>
      </c>
      <c r="G3" s="12" t="s">
        <v>36</v>
      </c>
      <c r="H3" s="12" t="s">
        <v>37</v>
      </c>
      <c r="I3" s="11" t="s">
        <v>38</v>
      </c>
      <c r="J3" s="12" t="s">
        <v>39</v>
      </c>
      <c r="K3" s="13" t="s">
        <v>40</v>
      </c>
      <c r="L3" s="11" t="str">
        <f>"000005"</f>
        <v>000005</v>
      </c>
      <c r="M3" s="10">
        <v>42830</v>
      </c>
      <c r="N3" s="11" t="str">
        <f>"000002"</f>
        <v>000002</v>
      </c>
      <c r="O3" s="10">
        <v>42830</v>
      </c>
      <c r="P3" s="11" t="str">
        <f>"000002"</f>
        <v>000002</v>
      </c>
      <c r="Q3" s="10">
        <v>42830</v>
      </c>
      <c r="R3" s="11">
        <v>17</v>
      </c>
      <c r="S3" s="11" t="str">
        <f>"002110"</f>
        <v>002110</v>
      </c>
      <c r="T3" s="10">
        <v>42878</v>
      </c>
      <c r="U3" s="14">
        <v>24.918839999999999</v>
      </c>
      <c r="V3" s="14">
        <v>0.72265000000000001</v>
      </c>
      <c r="W3" s="14">
        <v>24.196190000000001</v>
      </c>
      <c r="X3" s="11">
        <v>6</v>
      </c>
      <c r="Y3" s="10">
        <v>43195</v>
      </c>
      <c r="Z3" s="11">
        <v>9886112131</v>
      </c>
      <c r="AA3" s="12" t="s">
        <v>41</v>
      </c>
      <c r="AB3" s="11" t="s">
        <v>42</v>
      </c>
      <c r="AC3" s="12" t="s">
        <v>43</v>
      </c>
      <c r="AD3" s="11" t="s">
        <v>44</v>
      </c>
      <c r="AE3" s="12" t="s">
        <v>45</v>
      </c>
      <c r="AF3" s="14">
        <v>0.2491884</v>
      </c>
      <c r="AG3" s="11" t="s">
        <v>46</v>
      </c>
    </row>
    <row r="4" spans="1:33" x14ac:dyDescent="0.2">
      <c r="A4" s="8">
        <v>225</v>
      </c>
      <c r="B4" s="9" t="s">
        <v>33</v>
      </c>
      <c r="C4" s="10">
        <v>43195</v>
      </c>
      <c r="D4" s="11">
        <v>157</v>
      </c>
      <c r="E4" s="12" t="s">
        <v>34</v>
      </c>
      <c r="F4" s="12" t="s">
        <v>35</v>
      </c>
      <c r="G4" s="12" t="s">
        <v>36</v>
      </c>
      <c r="H4" s="12" t="s">
        <v>37</v>
      </c>
      <c r="I4" s="11" t="s">
        <v>38</v>
      </c>
      <c r="J4" s="12" t="s">
        <v>39</v>
      </c>
      <c r="K4" s="13" t="s">
        <v>40</v>
      </c>
      <c r="L4" s="11" t="str">
        <f>"000005"</f>
        <v>000005</v>
      </c>
      <c r="M4" s="10">
        <v>42830</v>
      </c>
      <c r="N4" s="11" t="str">
        <f>"000002"</f>
        <v>000002</v>
      </c>
      <c r="O4" s="10">
        <v>42830</v>
      </c>
      <c r="P4" s="11" t="str">
        <f>"000002"</f>
        <v>000002</v>
      </c>
      <c r="Q4" s="10">
        <v>42830</v>
      </c>
      <c r="R4" s="11">
        <v>17</v>
      </c>
      <c r="S4" s="11" t="str">
        <f>"002110"</f>
        <v>002110</v>
      </c>
      <c r="T4" s="10">
        <v>42878</v>
      </c>
      <c r="U4" s="14">
        <v>64.702160000000006</v>
      </c>
      <c r="V4" s="14">
        <v>1.87636</v>
      </c>
      <c r="W4" s="14">
        <v>62.825800000000001</v>
      </c>
      <c r="X4" s="11">
        <v>6</v>
      </c>
      <c r="Y4" s="10">
        <v>43195</v>
      </c>
      <c r="Z4" s="11">
        <v>9886112131</v>
      </c>
      <c r="AA4" s="12" t="s">
        <v>41</v>
      </c>
      <c r="AB4" s="11" t="s">
        <v>42</v>
      </c>
      <c r="AC4" s="12" t="s">
        <v>43</v>
      </c>
      <c r="AD4" s="11" t="s">
        <v>44</v>
      </c>
      <c r="AE4" s="12" t="s">
        <v>45</v>
      </c>
      <c r="AF4" s="14">
        <v>0.64702160000000009</v>
      </c>
      <c r="AG4" s="11" t="s">
        <v>46</v>
      </c>
    </row>
    <row r="5" spans="1:33" x14ac:dyDescent="0.2">
      <c r="A5" s="8">
        <v>270</v>
      </c>
      <c r="B5" s="9" t="s">
        <v>33</v>
      </c>
      <c r="C5" s="10">
        <v>43196</v>
      </c>
      <c r="D5" s="11">
        <v>157</v>
      </c>
      <c r="E5" s="12" t="s">
        <v>34</v>
      </c>
      <c r="F5" s="12" t="s">
        <v>35</v>
      </c>
      <c r="G5" s="12" t="s">
        <v>36</v>
      </c>
      <c r="H5" s="12" t="s">
        <v>37</v>
      </c>
      <c r="I5" s="11" t="s">
        <v>38</v>
      </c>
      <c r="J5" s="12" t="s">
        <v>39</v>
      </c>
      <c r="K5" s="13" t="s">
        <v>40</v>
      </c>
      <c r="L5" s="11" t="str">
        <f>"000005"</f>
        <v>000005</v>
      </c>
      <c r="M5" s="10">
        <v>42830</v>
      </c>
      <c r="N5" s="11" t="str">
        <f>"000002"</f>
        <v>000002</v>
      </c>
      <c r="O5" s="10">
        <v>42830</v>
      </c>
      <c r="P5" s="11" t="str">
        <f>"000002"</f>
        <v>000002</v>
      </c>
      <c r="Q5" s="10">
        <v>42830</v>
      </c>
      <c r="R5" s="11">
        <v>17</v>
      </c>
      <c r="S5" s="11" t="str">
        <f>"002110"</f>
        <v>002110</v>
      </c>
      <c r="T5" s="10">
        <v>42878</v>
      </c>
      <c r="U5" s="14">
        <v>88.118359999999996</v>
      </c>
      <c r="V5" s="14">
        <v>2.7316600000000002</v>
      </c>
      <c r="W5" s="14">
        <v>85.386700000000005</v>
      </c>
      <c r="X5" s="11">
        <v>7</v>
      </c>
      <c r="Y5" s="10">
        <v>43196</v>
      </c>
      <c r="Z5" s="11">
        <v>9886112131</v>
      </c>
      <c r="AA5" s="12" t="s">
        <v>41</v>
      </c>
      <c r="AB5" s="11" t="s">
        <v>42</v>
      </c>
      <c r="AC5" s="12" t="s">
        <v>43</v>
      </c>
      <c r="AD5" s="11" t="s">
        <v>44</v>
      </c>
      <c r="AE5" s="12" t="s">
        <v>45</v>
      </c>
      <c r="AF5" s="14">
        <v>0.88118359999999996</v>
      </c>
      <c r="AG5" s="11" t="s">
        <v>46</v>
      </c>
    </row>
    <row r="6" spans="1:33" x14ac:dyDescent="0.2">
      <c r="A6" s="8">
        <v>313</v>
      </c>
      <c r="B6" s="9" t="s">
        <v>33</v>
      </c>
      <c r="C6" s="10">
        <v>43199</v>
      </c>
      <c r="D6" s="11">
        <v>157</v>
      </c>
      <c r="E6" s="12" t="s">
        <v>34</v>
      </c>
      <c r="F6" s="12" t="s">
        <v>35</v>
      </c>
      <c r="G6" s="12" t="s">
        <v>36</v>
      </c>
      <c r="H6" s="12" t="s">
        <v>37</v>
      </c>
      <c r="I6" s="11" t="s">
        <v>47</v>
      </c>
      <c r="J6" s="12" t="s">
        <v>48</v>
      </c>
      <c r="K6" s="13" t="s">
        <v>40</v>
      </c>
      <c r="L6" s="11" t="str">
        <f>"000181"</f>
        <v>000181</v>
      </c>
      <c r="M6" s="10">
        <v>43174</v>
      </c>
      <c r="N6" s="11" t="str">
        <f>"000136"</f>
        <v>000136</v>
      </c>
      <c r="O6" s="10">
        <v>43181</v>
      </c>
      <c r="P6" s="11" t="str">
        <f>"000137"</f>
        <v>000137</v>
      </c>
      <c r="Q6" s="10">
        <v>43181</v>
      </c>
      <c r="R6" s="11">
        <v>18</v>
      </c>
      <c r="S6" s="11" t="str">
        <f>"000351"</f>
        <v>000351</v>
      </c>
      <c r="T6" s="10">
        <v>43196</v>
      </c>
      <c r="U6" s="14">
        <v>49.872369999999997</v>
      </c>
      <c r="V6" s="14">
        <v>6.2839200000000002</v>
      </c>
      <c r="W6" s="14">
        <v>43.588450000000002</v>
      </c>
      <c r="X6" s="11">
        <v>8</v>
      </c>
      <c r="Y6" s="10">
        <v>43199</v>
      </c>
      <c r="Z6" s="11">
        <v>0</v>
      </c>
      <c r="AA6" s="12" t="s">
        <v>49</v>
      </c>
      <c r="AB6" s="11" t="s">
        <v>50</v>
      </c>
      <c r="AC6" s="12" t="s">
        <v>51</v>
      </c>
      <c r="AD6" s="11" t="s">
        <v>52</v>
      </c>
      <c r="AE6" s="12" t="s">
        <v>53</v>
      </c>
      <c r="AF6" s="14">
        <v>0.49872369999999999</v>
      </c>
      <c r="AG6" s="11" t="s">
        <v>46</v>
      </c>
    </row>
    <row r="7" spans="1:33" x14ac:dyDescent="0.2">
      <c r="A7" s="8">
        <v>752</v>
      </c>
      <c r="B7" s="9" t="s">
        <v>33</v>
      </c>
      <c r="C7" s="10">
        <v>43216</v>
      </c>
      <c r="D7" s="11">
        <v>157</v>
      </c>
      <c r="E7" s="12" t="s">
        <v>34</v>
      </c>
      <c r="F7" s="12" t="s">
        <v>35</v>
      </c>
      <c r="G7" s="12" t="s">
        <v>36</v>
      </c>
      <c r="H7" s="12" t="s">
        <v>37</v>
      </c>
      <c r="I7" s="11" t="s">
        <v>54</v>
      </c>
      <c r="J7" s="12" t="s">
        <v>55</v>
      </c>
      <c r="K7" s="13" t="s">
        <v>56</v>
      </c>
      <c r="L7" s="11" t="str">
        <f>"00080a"</f>
        <v>00080a</v>
      </c>
      <c r="M7" s="10">
        <v>41899</v>
      </c>
      <c r="N7" s="11" t="str">
        <f>"000235"</f>
        <v>000235</v>
      </c>
      <c r="O7" s="10">
        <v>42668</v>
      </c>
      <c r="P7" s="11" t="str">
        <f>"000352"</f>
        <v>000352</v>
      </c>
      <c r="Q7" s="10">
        <v>42668</v>
      </c>
      <c r="R7" s="11">
        <v>15</v>
      </c>
      <c r="S7" s="11" t="str">
        <f>"000693"</f>
        <v>000693</v>
      </c>
      <c r="T7" s="10">
        <v>43215</v>
      </c>
      <c r="U7" s="14">
        <v>2.3906299999999998</v>
      </c>
      <c r="V7" s="14">
        <v>0.35426999999999997</v>
      </c>
      <c r="W7" s="14">
        <v>2.0363600000000002</v>
      </c>
      <c r="X7" s="11">
        <v>28</v>
      </c>
      <c r="Y7" s="10">
        <v>43216</v>
      </c>
      <c r="Z7" s="11">
        <v>7760846260</v>
      </c>
      <c r="AA7" s="12" t="s">
        <v>57</v>
      </c>
      <c r="AB7" s="11" t="s">
        <v>58</v>
      </c>
      <c r="AC7" s="12" t="s">
        <v>59</v>
      </c>
      <c r="AD7" s="11" t="s">
        <v>44</v>
      </c>
      <c r="AE7" s="12" t="s">
        <v>45</v>
      </c>
      <c r="AF7" s="14">
        <v>2.3906299999999998E-2</v>
      </c>
      <c r="AG7" s="11" t="s">
        <v>46</v>
      </c>
    </row>
    <row r="8" spans="1:33" x14ac:dyDescent="0.2">
      <c r="A8" s="8">
        <v>1014</v>
      </c>
      <c r="B8" s="9" t="s">
        <v>60</v>
      </c>
      <c r="C8" s="10">
        <v>43229</v>
      </c>
      <c r="D8" s="11">
        <v>157</v>
      </c>
      <c r="E8" s="12" t="s">
        <v>34</v>
      </c>
      <c r="F8" s="12" t="s">
        <v>35</v>
      </c>
      <c r="G8" s="12" t="s">
        <v>36</v>
      </c>
      <c r="H8" s="12" t="s">
        <v>37</v>
      </c>
      <c r="I8" s="11" t="s">
        <v>38</v>
      </c>
      <c r="J8" s="12" t="s">
        <v>39</v>
      </c>
      <c r="K8" s="13" t="s">
        <v>40</v>
      </c>
      <c r="L8" s="11" t="str">
        <f>"000005"</f>
        <v>000005</v>
      </c>
      <c r="M8" s="10">
        <v>42830</v>
      </c>
      <c r="N8" s="11" t="str">
        <f>"000002"</f>
        <v>000002</v>
      </c>
      <c r="O8" s="10">
        <v>42830</v>
      </c>
      <c r="P8" s="11" t="str">
        <f>"000002"</f>
        <v>000002</v>
      </c>
      <c r="Q8" s="10">
        <v>42830</v>
      </c>
      <c r="R8" s="11">
        <v>17</v>
      </c>
      <c r="S8" s="11" t="str">
        <f>"002110"</f>
        <v>002110</v>
      </c>
      <c r="T8" s="10">
        <v>42878</v>
      </c>
      <c r="U8" s="14">
        <v>21.097449999999998</v>
      </c>
      <c r="V8" s="14">
        <v>0.65400999999999998</v>
      </c>
      <c r="W8" s="14">
        <v>20.443439999999999</v>
      </c>
      <c r="X8" s="11">
        <v>43</v>
      </c>
      <c r="Y8" s="10">
        <v>43229</v>
      </c>
      <c r="Z8" s="11">
        <v>9886112131</v>
      </c>
      <c r="AA8" s="12" t="s">
        <v>41</v>
      </c>
      <c r="AB8" s="11" t="s">
        <v>42</v>
      </c>
      <c r="AC8" s="12" t="s">
        <v>43</v>
      </c>
      <c r="AD8" s="11" t="s">
        <v>44</v>
      </c>
      <c r="AE8" s="12" t="s">
        <v>45</v>
      </c>
      <c r="AF8" s="14">
        <v>0.21097449999999998</v>
      </c>
      <c r="AG8" s="11" t="s">
        <v>46</v>
      </c>
    </row>
    <row r="9" spans="1:33" x14ac:dyDescent="0.2">
      <c r="A9" s="8">
        <v>1015</v>
      </c>
      <c r="B9" s="9" t="s">
        <v>60</v>
      </c>
      <c r="C9" s="10">
        <v>43229</v>
      </c>
      <c r="D9" s="11">
        <v>157</v>
      </c>
      <c r="E9" s="12" t="s">
        <v>34</v>
      </c>
      <c r="F9" s="12" t="s">
        <v>35</v>
      </c>
      <c r="G9" s="12" t="s">
        <v>36</v>
      </c>
      <c r="H9" s="12" t="s">
        <v>37</v>
      </c>
      <c r="I9" s="11" t="s">
        <v>38</v>
      </c>
      <c r="J9" s="12" t="s">
        <v>39</v>
      </c>
      <c r="K9" s="13" t="s">
        <v>40</v>
      </c>
      <c r="L9" s="11" t="str">
        <f>"000005"</f>
        <v>000005</v>
      </c>
      <c r="M9" s="10">
        <v>42830</v>
      </c>
      <c r="N9" s="11" t="str">
        <f>"000002"</f>
        <v>000002</v>
      </c>
      <c r="O9" s="10">
        <v>42830</v>
      </c>
      <c r="P9" s="11" t="str">
        <f>"000002"</f>
        <v>000002</v>
      </c>
      <c r="Q9" s="10">
        <v>42830</v>
      </c>
      <c r="R9" s="11">
        <v>17</v>
      </c>
      <c r="S9" s="11" t="str">
        <f>"002110"</f>
        <v>002110</v>
      </c>
      <c r="T9" s="10">
        <v>42878</v>
      </c>
      <c r="U9" s="14">
        <v>50.7455</v>
      </c>
      <c r="V9" s="14">
        <v>1.47163</v>
      </c>
      <c r="W9" s="14">
        <v>49.273870000000002</v>
      </c>
      <c r="X9" s="11">
        <v>47</v>
      </c>
      <c r="Y9" s="10">
        <v>43229</v>
      </c>
      <c r="Z9" s="11">
        <v>9886112131</v>
      </c>
      <c r="AA9" s="12" t="s">
        <v>41</v>
      </c>
      <c r="AB9" s="11" t="s">
        <v>42</v>
      </c>
      <c r="AC9" s="12" t="s">
        <v>43</v>
      </c>
      <c r="AD9" s="11" t="s">
        <v>44</v>
      </c>
      <c r="AE9" s="12" t="s">
        <v>45</v>
      </c>
      <c r="AF9" s="14">
        <v>0.50745499999999999</v>
      </c>
      <c r="AG9" s="11" t="s">
        <v>46</v>
      </c>
    </row>
    <row r="10" spans="1:33" x14ac:dyDescent="0.2">
      <c r="A10" s="8">
        <v>1136</v>
      </c>
      <c r="B10" s="9" t="s">
        <v>60</v>
      </c>
      <c r="C10" s="10">
        <v>43230</v>
      </c>
      <c r="D10" s="11">
        <v>157</v>
      </c>
      <c r="E10" s="12" t="s">
        <v>34</v>
      </c>
      <c r="F10" s="12" t="s">
        <v>35</v>
      </c>
      <c r="G10" s="12" t="s">
        <v>36</v>
      </c>
      <c r="H10" s="12" t="s">
        <v>37</v>
      </c>
      <c r="I10" s="11" t="s">
        <v>61</v>
      </c>
      <c r="J10" s="12" t="s">
        <v>62</v>
      </c>
      <c r="K10" s="13" t="s">
        <v>63</v>
      </c>
      <c r="L10" s="11" t="str">
        <f>"000087"</f>
        <v>000087</v>
      </c>
      <c r="M10" s="10">
        <v>42744</v>
      </c>
      <c r="N10" s="11" t="str">
        <f>"000108"</f>
        <v>000108</v>
      </c>
      <c r="O10" s="10">
        <v>42824</v>
      </c>
      <c r="P10" s="11" t="str">
        <f>"000300"</f>
        <v>000300</v>
      </c>
      <c r="Q10" s="10">
        <v>42824</v>
      </c>
      <c r="R10" s="11">
        <v>16</v>
      </c>
      <c r="S10" s="11" t="str">
        <f>"001886"</f>
        <v>001886</v>
      </c>
      <c r="T10" s="10">
        <v>43245</v>
      </c>
      <c r="U10" s="14">
        <v>5.7861000000000002</v>
      </c>
      <c r="V10" s="14">
        <v>0.70009999999999994</v>
      </c>
      <c r="W10" s="14">
        <v>5.0860000000000003</v>
      </c>
      <c r="X10" s="11">
        <v>48</v>
      </c>
      <c r="Y10" s="10">
        <v>43230</v>
      </c>
      <c r="Z10" s="11">
        <v>0</v>
      </c>
      <c r="AA10" s="12" t="s">
        <v>64</v>
      </c>
      <c r="AB10" s="11" t="s">
        <v>65</v>
      </c>
      <c r="AC10" s="12" t="s">
        <v>66</v>
      </c>
      <c r="AD10" s="11" t="s">
        <v>52</v>
      </c>
      <c r="AE10" s="12" t="s">
        <v>53</v>
      </c>
      <c r="AF10" s="14">
        <v>5.7861000000000003E-2</v>
      </c>
      <c r="AG10" s="11" t="s">
        <v>46</v>
      </c>
    </row>
    <row r="11" spans="1:33" x14ac:dyDescent="0.2">
      <c r="A11" s="8">
        <v>1245</v>
      </c>
      <c r="B11" s="9" t="s">
        <v>60</v>
      </c>
      <c r="C11" s="10">
        <v>43238</v>
      </c>
      <c r="D11" s="11">
        <v>157</v>
      </c>
      <c r="E11" s="12" t="s">
        <v>34</v>
      </c>
      <c r="F11" s="12" t="s">
        <v>35</v>
      </c>
      <c r="G11" s="12" t="s">
        <v>36</v>
      </c>
      <c r="H11" s="12" t="s">
        <v>37</v>
      </c>
      <c r="I11" s="11" t="s">
        <v>67</v>
      </c>
      <c r="J11" s="12" t="s">
        <v>68</v>
      </c>
      <c r="K11" s="13" t="s">
        <v>40</v>
      </c>
      <c r="L11" s="11" t="str">
        <f>"000065"</f>
        <v>000065</v>
      </c>
      <c r="M11" s="10">
        <v>42588</v>
      </c>
      <c r="N11" s="11" t="str">
        <f>""</f>
        <v/>
      </c>
      <c r="O11" s="10"/>
      <c r="P11" s="11" t="str">
        <f>""</f>
        <v/>
      </c>
      <c r="Q11" s="10"/>
      <c r="R11" s="11">
        <v>16</v>
      </c>
      <c r="S11" s="11" t="str">
        <f>""</f>
        <v/>
      </c>
      <c r="T11" s="10"/>
      <c r="U11" s="14">
        <v>4.9420000000000002</v>
      </c>
      <c r="V11" s="14">
        <v>0.59019999999999995</v>
      </c>
      <c r="W11" s="14">
        <v>4.3517999999999999</v>
      </c>
      <c r="X11" s="11">
        <v>52</v>
      </c>
      <c r="Y11" s="10">
        <v>43238</v>
      </c>
      <c r="Z11" s="11">
        <v>7411109121</v>
      </c>
      <c r="AA11" s="12" t="s">
        <v>69</v>
      </c>
      <c r="AB11" s="11" t="s">
        <v>70</v>
      </c>
      <c r="AC11" s="12" t="s">
        <v>71</v>
      </c>
      <c r="AD11" s="11" t="s">
        <v>44</v>
      </c>
      <c r="AE11" s="12" t="s">
        <v>45</v>
      </c>
      <c r="AF11" s="14">
        <v>4.9419999999999999E-2</v>
      </c>
      <c r="AG11" s="11" t="s">
        <v>46</v>
      </c>
    </row>
    <row r="12" spans="1:33" x14ac:dyDescent="0.2">
      <c r="A12" s="8">
        <v>1361</v>
      </c>
      <c r="B12" s="9" t="s">
        <v>60</v>
      </c>
      <c r="C12" s="10">
        <v>43241</v>
      </c>
      <c r="D12" s="11">
        <v>157</v>
      </c>
      <c r="E12" s="12" t="s">
        <v>34</v>
      </c>
      <c r="F12" s="12" t="s">
        <v>35</v>
      </c>
      <c r="G12" s="12" t="s">
        <v>36</v>
      </c>
      <c r="H12" s="12" t="s">
        <v>37</v>
      </c>
      <c r="I12" s="11" t="s">
        <v>72</v>
      </c>
      <c r="J12" s="12" t="s">
        <v>73</v>
      </c>
      <c r="K12" s="13" t="s">
        <v>74</v>
      </c>
      <c r="L12" s="11" t="str">
        <f>"000223"</f>
        <v>000223</v>
      </c>
      <c r="M12" s="10">
        <v>43172</v>
      </c>
      <c r="N12" s="11" t="str">
        <f>"000014"</f>
        <v>000014</v>
      </c>
      <c r="O12" s="10">
        <v>43209</v>
      </c>
      <c r="P12" s="11" t="str">
        <f>"000033"</f>
        <v>000033</v>
      </c>
      <c r="Q12" s="10">
        <v>43209</v>
      </c>
      <c r="R12" s="11">
        <v>18</v>
      </c>
      <c r="S12" s="11" t="str">
        <f>"001362"</f>
        <v>001362</v>
      </c>
      <c r="T12" s="10">
        <v>43230</v>
      </c>
      <c r="U12" s="14">
        <v>24.986699999999999</v>
      </c>
      <c r="V12" s="14">
        <v>2.59863</v>
      </c>
      <c r="W12" s="14">
        <v>22.388069999999999</v>
      </c>
      <c r="X12" s="11">
        <v>54</v>
      </c>
      <c r="Y12" s="10">
        <v>43241</v>
      </c>
      <c r="Z12" s="11">
        <v>9916870932</v>
      </c>
      <c r="AA12" s="12" t="s">
        <v>57</v>
      </c>
      <c r="AB12" s="11" t="s">
        <v>50</v>
      </c>
      <c r="AC12" s="12" t="s">
        <v>51</v>
      </c>
      <c r="AD12" s="11" t="s">
        <v>44</v>
      </c>
      <c r="AE12" s="12" t="s">
        <v>45</v>
      </c>
      <c r="AF12" s="14">
        <v>0.24986699999999998</v>
      </c>
      <c r="AG12" s="11" t="s">
        <v>75</v>
      </c>
    </row>
    <row r="13" spans="1:33" x14ac:dyDescent="0.2">
      <c r="A13" s="8">
        <v>1362</v>
      </c>
      <c r="B13" s="9" t="s">
        <v>60</v>
      </c>
      <c r="C13" s="10">
        <v>43241</v>
      </c>
      <c r="D13" s="11">
        <v>157</v>
      </c>
      <c r="E13" s="12" t="s">
        <v>34</v>
      </c>
      <c r="F13" s="12" t="s">
        <v>35</v>
      </c>
      <c r="G13" s="12" t="s">
        <v>36</v>
      </c>
      <c r="H13" s="12" t="s">
        <v>37</v>
      </c>
      <c r="I13" s="11" t="s">
        <v>76</v>
      </c>
      <c r="J13" s="12" t="s">
        <v>77</v>
      </c>
      <c r="K13" s="13" t="s">
        <v>56</v>
      </c>
      <c r="L13" s="11" t="str">
        <f>"000167"</f>
        <v>000167</v>
      </c>
      <c r="M13" s="10">
        <v>43150</v>
      </c>
      <c r="N13" s="11" t="str">
        <f>"000007"</f>
        <v>000007</v>
      </c>
      <c r="O13" s="10">
        <v>43195</v>
      </c>
      <c r="P13" s="11" t="str">
        <f>"000018"</f>
        <v>000018</v>
      </c>
      <c r="Q13" s="10">
        <v>43199</v>
      </c>
      <c r="R13" s="11">
        <v>18</v>
      </c>
      <c r="S13" s="11" t="str">
        <f>"001516"</f>
        <v>001516</v>
      </c>
      <c r="T13" s="10">
        <v>43237</v>
      </c>
      <c r="U13" s="14">
        <v>24.989000000000001</v>
      </c>
      <c r="V13" s="14">
        <v>2.5988600000000002</v>
      </c>
      <c r="W13" s="14">
        <v>22.390139999999999</v>
      </c>
      <c r="X13" s="11">
        <v>54</v>
      </c>
      <c r="Y13" s="10">
        <v>43241</v>
      </c>
      <c r="Z13" s="11">
        <v>9008746150</v>
      </c>
      <c r="AA13" s="12" t="s">
        <v>78</v>
      </c>
      <c r="AB13" s="11" t="s">
        <v>50</v>
      </c>
      <c r="AC13" s="12" t="s">
        <v>51</v>
      </c>
      <c r="AD13" s="11" t="s">
        <v>44</v>
      </c>
      <c r="AE13" s="12" t="s">
        <v>45</v>
      </c>
      <c r="AF13" s="14">
        <v>0.24989</v>
      </c>
      <c r="AG13" s="11" t="s">
        <v>75</v>
      </c>
    </row>
    <row r="14" spans="1:33" x14ac:dyDescent="0.2">
      <c r="A14" s="8">
        <v>1363</v>
      </c>
      <c r="B14" s="9" t="s">
        <v>60</v>
      </c>
      <c r="C14" s="10">
        <v>43241</v>
      </c>
      <c r="D14" s="11">
        <v>157</v>
      </c>
      <c r="E14" s="12" t="s">
        <v>34</v>
      </c>
      <c r="F14" s="12" t="s">
        <v>35</v>
      </c>
      <c r="G14" s="12" t="s">
        <v>36</v>
      </c>
      <c r="H14" s="12" t="s">
        <v>37</v>
      </c>
      <c r="I14" s="11" t="s">
        <v>79</v>
      </c>
      <c r="J14" s="12" t="s">
        <v>80</v>
      </c>
      <c r="K14" s="13" t="s">
        <v>81</v>
      </c>
      <c r="L14" s="11" t="str">
        <f>"000257"</f>
        <v>000257</v>
      </c>
      <c r="M14" s="10">
        <v>43193</v>
      </c>
      <c r="N14" s="11" t="str">
        <f>"000003"</f>
        <v>000003</v>
      </c>
      <c r="O14" s="10">
        <v>43193</v>
      </c>
      <c r="P14" s="11" t="str">
        <f>"000005"</f>
        <v>000005</v>
      </c>
      <c r="Q14" s="10">
        <v>43193</v>
      </c>
      <c r="R14" s="11">
        <v>17</v>
      </c>
      <c r="S14" s="11" t="str">
        <f>"001608"</f>
        <v>001608</v>
      </c>
      <c r="T14" s="10">
        <v>43239</v>
      </c>
      <c r="U14" s="14">
        <v>4.2404000000000002</v>
      </c>
      <c r="V14" s="14">
        <v>0.25015999999999999</v>
      </c>
      <c r="W14" s="14">
        <v>3.99024</v>
      </c>
      <c r="X14" s="11">
        <v>56</v>
      </c>
      <c r="Y14" s="10">
        <v>43241</v>
      </c>
      <c r="Z14" s="11">
        <v>9036673220</v>
      </c>
      <c r="AA14" s="12" t="s">
        <v>82</v>
      </c>
      <c r="AB14" s="11" t="s">
        <v>83</v>
      </c>
      <c r="AC14" s="12" t="s">
        <v>84</v>
      </c>
      <c r="AD14" s="11" t="s">
        <v>44</v>
      </c>
      <c r="AE14" s="12" t="s">
        <v>45</v>
      </c>
      <c r="AF14" s="14">
        <v>4.2404000000000004E-2</v>
      </c>
      <c r="AG14" s="11" t="s">
        <v>85</v>
      </c>
    </row>
    <row r="15" spans="1:33" x14ac:dyDescent="0.2">
      <c r="A15" s="8">
        <v>1687</v>
      </c>
      <c r="B15" s="9" t="s">
        <v>86</v>
      </c>
      <c r="C15" s="10">
        <v>43252</v>
      </c>
      <c r="D15" s="11">
        <v>157</v>
      </c>
      <c r="E15" s="12" t="s">
        <v>34</v>
      </c>
      <c r="F15" s="12" t="s">
        <v>35</v>
      </c>
      <c r="G15" s="12" t="s">
        <v>36</v>
      </c>
      <c r="H15" s="12" t="s">
        <v>37</v>
      </c>
      <c r="I15" s="11" t="s">
        <v>61</v>
      </c>
      <c r="J15" s="12" t="s">
        <v>62</v>
      </c>
      <c r="K15" s="13" t="s">
        <v>63</v>
      </c>
      <c r="L15" s="11" t="str">
        <f>"000087"</f>
        <v>000087</v>
      </c>
      <c r="M15" s="10">
        <v>42744</v>
      </c>
      <c r="N15" s="11" t="str">
        <f>"000108"</f>
        <v>000108</v>
      </c>
      <c r="O15" s="10">
        <v>42824</v>
      </c>
      <c r="P15" s="11" t="str">
        <f>"000300"</f>
        <v>000300</v>
      </c>
      <c r="Q15" s="10">
        <v>42824</v>
      </c>
      <c r="R15" s="11">
        <v>16</v>
      </c>
      <c r="S15" s="11" t="str">
        <f>"001886"</f>
        <v>001886</v>
      </c>
      <c r="T15" s="10">
        <v>43245</v>
      </c>
      <c r="U15" s="14">
        <v>3.9366400000000001</v>
      </c>
      <c r="V15" s="14">
        <v>0.45495999999999998</v>
      </c>
      <c r="W15" s="14">
        <v>3.4816799999999999</v>
      </c>
      <c r="X15" s="11">
        <v>65</v>
      </c>
      <c r="Y15" s="10">
        <v>43252</v>
      </c>
      <c r="Z15" s="11">
        <v>0</v>
      </c>
      <c r="AA15" s="12" t="s">
        <v>64</v>
      </c>
      <c r="AB15" s="11" t="s">
        <v>65</v>
      </c>
      <c r="AC15" s="12" t="s">
        <v>66</v>
      </c>
      <c r="AD15" s="11" t="s">
        <v>52</v>
      </c>
      <c r="AE15" s="12" t="s">
        <v>53</v>
      </c>
      <c r="AF15" s="14">
        <v>3.9366400000000003E-2</v>
      </c>
      <c r="AG15" s="11" t="s">
        <v>46</v>
      </c>
    </row>
    <row r="16" spans="1:33" x14ac:dyDescent="0.2">
      <c r="A16" s="8">
        <v>1890</v>
      </c>
      <c r="B16" s="9" t="s">
        <v>86</v>
      </c>
      <c r="C16" s="10">
        <v>43257</v>
      </c>
      <c r="D16" s="11">
        <v>157</v>
      </c>
      <c r="E16" s="12" t="s">
        <v>34</v>
      </c>
      <c r="F16" s="12" t="s">
        <v>35</v>
      </c>
      <c r="G16" s="12" t="s">
        <v>36</v>
      </c>
      <c r="H16" s="12" t="s">
        <v>37</v>
      </c>
      <c r="I16" s="11" t="s">
        <v>87</v>
      </c>
      <c r="J16" s="12" t="s">
        <v>88</v>
      </c>
      <c r="K16" s="13" t="s">
        <v>56</v>
      </c>
      <c r="L16" s="11" t="str">
        <f>"000066"</f>
        <v>000066</v>
      </c>
      <c r="M16" s="10">
        <v>43074</v>
      </c>
      <c r="N16" s="11" t="str">
        <f>"000026"</f>
        <v>000026</v>
      </c>
      <c r="O16" s="10">
        <v>43224</v>
      </c>
      <c r="P16" s="11" t="str">
        <f>"000052"</f>
        <v>000052</v>
      </c>
      <c r="Q16" s="10">
        <v>43224</v>
      </c>
      <c r="R16" s="11">
        <v>17</v>
      </c>
      <c r="S16" s="11" t="str">
        <f>"002016"</f>
        <v>002016</v>
      </c>
      <c r="T16" s="10">
        <v>43248</v>
      </c>
      <c r="U16" s="14">
        <v>5.4741299999999997</v>
      </c>
      <c r="V16" s="14">
        <v>0.11495</v>
      </c>
      <c r="W16" s="14">
        <v>5.3591800000000003</v>
      </c>
      <c r="X16" s="11">
        <v>72</v>
      </c>
      <c r="Y16" s="10">
        <v>43257</v>
      </c>
      <c r="Z16" s="11">
        <v>9972484999</v>
      </c>
      <c r="AA16" s="12" t="s">
        <v>89</v>
      </c>
      <c r="AB16" s="11" t="s">
        <v>83</v>
      </c>
      <c r="AC16" s="12" t="s">
        <v>84</v>
      </c>
      <c r="AD16" s="11" t="s">
        <v>44</v>
      </c>
      <c r="AE16" s="12" t="s">
        <v>45</v>
      </c>
      <c r="AF16" s="14">
        <v>5.47413E-2</v>
      </c>
      <c r="AG16" s="11" t="s">
        <v>75</v>
      </c>
    </row>
    <row r="17" spans="1:33" x14ac:dyDescent="0.2">
      <c r="A17" s="8">
        <v>2927</v>
      </c>
      <c r="B17" s="9" t="s">
        <v>90</v>
      </c>
      <c r="C17" s="10">
        <v>43283</v>
      </c>
      <c r="D17" s="11">
        <v>157</v>
      </c>
      <c r="E17" s="12" t="s">
        <v>34</v>
      </c>
      <c r="F17" s="12" t="s">
        <v>35</v>
      </c>
      <c r="G17" s="12" t="s">
        <v>36</v>
      </c>
      <c r="H17" s="12" t="s">
        <v>37</v>
      </c>
      <c r="I17" s="11" t="s">
        <v>91</v>
      </c>
      <c r="J17" s="12" t="s">
        <v>92</v>
      </c>
      <c r="K17" s="13" t="s">
        <v>93</v>
      </c>
      <c r="L17" s="11" t="str">
        <f>"000135"</f>
        <v>000135</v>
      </c>
      <c r="M17" s="10">
        <v>43147</v>
      </c>
      <c r="N17" s="11" t="str">
        <f>"000048"</f>
        <v>000048</v>
      </c>
      <c r="O17" s="10">
        <v>43266</v>
      </c>
      <c r="P17" s="11" t="str">
        <f>"000080"</f>
        <v>000080</v>
      </c>
      <c r="Q17" s="10">
        <v>43269</v>
      </c>
      <c r="R17" s="11">
        <v>18</v>
      </c>
      <c r="S17" s="11" t="str">
        <f>"003120"</f>
        <v>003120</v>
      </c>
      <c r="T17" s="10">
        <v>43280</v>
      </c>
      <c r="U17" s="14">
        <v>18.7376</v>
      </c>
      <c r="V17" s="14">
        <v>1.70513</v>
      </c>
      <c r="W17" s="14">
        <v>17.03247</v>
      </c>
      <c r="X17" s="11">
        <v>104</v>
      </c>
      <c r="Y17" s="10">
        <v>43283</v>
      </c>
      <c r="Z17" s="11">
        <v>9900074879</v>
      </c>
      <c r="AA17" s="12" t="s">
        <v>57</v>
      </c>
      <c r="AB17" s="11" t="s">
        <v>50</v>
      </c>
      <c r="AC17" s="12" t="s">
        <v>51</v>
      </c>
      <c r="AD17" s="11" t="s">
        <v>44</v>
      </c>
      <c r="AE17" s="12" t="s">
        <v>45</v>
      </c>
      <c r="AF17" s="14">
        <v>0.18737600000000001</v>
      </c>
      <c r="AG17" s="11" t="s">
        <v>75</v>
      </c>
    </row>
    <row r="18" spans="1:33" x14ac:dyDescent="0.2">
      <c r="A18" s="8">
        <v>3103</v>
      </c>
      <c r="B18" s="9" t="s">
        <v>90</v>
      </c>
      <c r="C18" s="10">
        <v>43287</v>
      </c>
      <c r="D18" s="11">
        <v>157</v>
      </c>
      <c r="E18" s="12" t="s">
        <v>34</v>
      </c>
      <c r="F18" s="12" t="s">
        <v>35</v>
      </c>
      <c r="G18" s="12" t="s">
        <v>36</v>
      </c>
      <c r="H18" s="12" t="s">
        <v>37</v>
      </c>
      <c r="I18" s="11" t="s">
        <v>94</v>
      </c>
      <c r="J18" s="12" t="s">
        <v>95</v>
      </c>
      <c r="K18" s="13" t="s">
        <v>40</v>
      </c>
      <c r="L18" s="11" t="str">
        <f>"000008"</f>
        <v>000008</v>
      </c>
      <c r="M18" s="10">
        <v>42462</v>
      </c>
      <c r="N18" s="11" t="str">
        <f>"000013"</f>
        <v>000013</v>
      </c>
      <c r="O18" s="10">
        <v>42825</v>
      </c>
      <c r="P18" s="11" t="str">
        <f>"000365"</f>
        <v>000365</v>
      </c>
      <c r="Q18" s="10">
        <v>42671</v>
      </c>
      <c r="R18" s="11">
        <v>16</v>
      </c>
      <c r="S18" s="11" t="str">
        <f>"003311"</f>
        <v>003311</v>
      </c>
      <c r="T18" s="10">
        <v>43285</v>
      </c>
      <c r="U18" s="14">
        <v>11.255000000000001</v>
      </c>
      <c r="V18" s="14">
        <v>1.4370000000000001</v>
      </c>
      <c r="W18" s="14">
        <v>9.8179999999999996</v>
      </c>
      <c r="X18" s="11">
        <v>113</v>
      </c>
      <c r="Y18" s="10">
        <v>43287</v>
      </c>
      <c r="Z18" s="11">
        <v>9972693939</v>
      </c>
      <c r="AA18" s="12" t="s">
        <v>96</v>
      </c>
      <c r="AB18" s="11" t="s">
        <v>70</v>
      </c>
      <c r="AC18" s="12" t="s">
        <v>71</v>
      </c>
      <c r="AD18" s="11" t="s">
        <v>44</v>
      </c>
      <c r="AE18" s="12" t="s">
        <v>45</v>
      </c>
      <c r="AF18" s="14">
        <v>0.11255000000000001</v>
      </c>
      <c r="AG18" s="11" t="s">
        <v>46</v>
      </c>
    </row>
    <row r="19" spans="1:33" x14ac:dyDescent="0.2">
      <c r="A19" s="8">
        <v>3250</v>
      </c>
      <c r="B19" s="9" t="s">
        <v>90</v>
      </c>
      <c r="C19" s="10">
        <v>43293</v>
      </c>
      <c r="D19" s="11">
        <v>157</v>
      </c>
      <c r="E19" s="12" t="s">
        <v>34</v>
      </c>
      <c r="F19" s="12" t="s">
        <v>35</v>
      </c>
      <c r="G19" s="12" t="s">
        <v>36</v>
      </c>
      <c r="H19" s="12" t="s">
        <v>37</v>
      </c>
      <c r="I19" s="11" t="s">
        <v>97</v>
      </c>
      <c r="J19" s="12" t="s">
        <v>98</v>
      </c>
      <c r="K19" s="13" t="s">
        <v>99</v>
      </c>
      <c r="L19" s="11" t="str">
        <f>"000176"</f>
        <v>000176</v>
      </c>
      <c r="M19" s="10">
        <v>43154</v>
      </c>
      <c r="N19" s="11" t="str">
        <f>"000050"</f>
        <v>000050</v>
      </c>
      <c r="O19" s="10">
        <v>43274</v>
      </c>
      <c r="P19" s="11" t="str">
        <f>"000085"</f>
        <v>000085</v>
      </c>
      <c r="Q19" s="10">
        <v>43274</v>
      </c>
      <c r="R19" s="11">
        <v>18</v>
      </c>
      <c r="S19" s="11" t="str">
        <f>"003578"</f>
        <v>003578</v>
      </c>
      <c r="T19" s="10">
        <v>43292</v>
      </c>
      <c r="U19" s="14">
        <v>14.983499999999999</v>
      </c>
      <c r="V19" s="14">
        <v>1.4135</v>
      </c>
      <c r="W19" s="14">
        <v>13.57</v>
      </c>
      <c r="X19" s="11">
        <v>122</v>
      </c>
      <c r="Y19" s="10">
        <v>43293</v>
      </c>
      <c r="Z19" s="11">
        <v>9945634696</v>
      </c>
      <c r="AA19" s="12" t="s">
        <v>57</v>
      </c>
      <c r="AB19" s="11" t="s">
        <v>50</v>
      </c>
      <c r="AC19" s="12" t="s">
        <v>51</v>
      </c>
      <c r="AD19" s="11" t="s">
        <v>44</v>
      </c>
      <c r="AE19" s="12" t="s">
        <v>45</v>
      </c>
      <c r="AF19" s="14">
        <v>0.149835</v>
      </c>
      <c r="AG19" s="11" t="s">
        <v>75</v>
      </c>
    </row>
    <row r="20" spans="1:33" x14ac:dyDescent="0.2">
      <c r="A20" s="8">
        <v>3589</v>
      </c>
      <c r="B20" s="9" t="s">
        <v>90</v>
      </c>
      <c r="C20" s="10">
        <v>43299</v>
      </c>
      <c r="D20" s="11">
        <v>157</v>
      </c>
      <c r="E20" s="12" t="s">
        <v>34</v>
      </c>
      <c r="F20" s="12" t="s">
        <v>35</v>
      </c>
      <c r="G20" s="12" t="s">
        <v>36</v>
      </c>
      <c r="H20" s="12" t="s">
        <v>37</v>
      </c>
      <c r="I20" s="11" t="s">
        <v>100</v>
      </c>
      <c r="J20" s="12" t="s">
        <v>101</v>
      </c>
      <c r="K20" s="13" t="s">
        <v>40</v>
      </c>
      <c r="L20" s="11" t="str">
        <f>"000009"</f>
        <v>000009</v>
      </c>
      <c r="M20" s="10">
        <v>42931</v>
      </c>
      <c r="N20" s="11" t="str">
        <f>"000145"</f>
        <v>000145</v>
      </c>
      <c r="O20" s="10">
        <v>43186</v>
      </c>
      <c r="P20" s="11" t="str">
        <f>"000151"</f>
        <v>000151</v>
      </c>
      <c r="Q20" s="10">
        <v>43186</v>
      </c>
      <c r="R20" s="11">
        <v>16</v>
      </c>
      <c r="S20" s="11" t="str">
        <f>"004327"</f>
        <v>004327</v>
      </c>
      <c r="T20" s="10">
        <v>43306</v>
      </c>
      <c r="U20" s="14">
        <v>6.8012899999999998</v>
      </c>
      <c r="V20" s="14">
        <v>0.59989000000000003</v>
      </c>
      <c r="W20" s="14">
        <v>6.2013999999999996</v>
      </c>
      <c r="X20" s="11">
        <v>127</v>
      </c>
      <c r="Y20" s="10">
        <v>43299</v>
      </c>
      <c r="Z20" s="11">
        <v>0</v>
      </c>
      <c r="AA20" s="12" t="s">
        <v>102</v>
      </c>
      <c r="AB20" s="11" t="s">
        <v>103</v>
      </c>
      <c r="AC20" s="12" t="s">
        <v>104</v>
      </c>
      <c r="AD20" s="11" t="s">
        <v>52</v>
      </c>
      <c r="AE20" s="12" t="s">
        <v>53</v>
      </c>
      <c r="AF20" s="14">
        <v>6.8012900000000001E-2</v>
      </c>
      <c r="AG20" s="11" t="s">
        <v>46</v>
      </c>
    </row>
    <row r="21" spans="1:33" x14ac:dyDescent="0.2">
      <c r="A21" s="8">
        <v>3947</v>
      </c>
      <c r="B21" s="9" t="s">
        <v>90</v>
      </c>
      <c r="C21" s="10">
        <v>43305</v>
      </c>
      <c r="D21" s="11">
        <v>157</v>
      </c>
      <c r="E21" s="12" t="s">
        <v>34</v>
      </c>
      <c r="F21" s="12" t="s">
        <v>35</v>
      </c>
      <c r="G21" s="12" t="s">
        <v>36</v>
      </c>
      <c r="H21" s="12" t="s">
        <v>37</v>
      </c>
      <c r="I21" s="11" t="s">
        <v>105</v>
      </c>
      <c r="J21" s="12" t="s">
        <v>106</v>
      </c>
      <c r="K21" s="13" t="s">
        <v>40</v>
      </c>
      <c r="L21" s="11" t="str">
        <f>"000070"</f>
        <v>000070</v>
      </c>
      <c r="M21" s="10">
        <v>41899</v>
      </c>
      <c r="N21" s="11" t="str">
        <f>"000234"</f>
        <v>000234</v>
      </c>
      <c r="O21" s="10">
        <v>42668</v>
      </c>
      <c r="P21" s="11" t="str">
        <f>"000351"</f>
        <v>000351</v>
      </c>
      <c r="Q21" s="10">
        <v>42668</v>
      </c>
      <c r="R21" s="11">
        <v>15</v>
      </c>
      <c r="S21" s="11" t="str">
        <f>"004091"</f>
        <v>004091</v>
      </c>
      <c r="T21" s="10">
        <v>43301</v>
      </c>
      <c r="U21" s="14">
        <v>5.8340699999999996</v>
      </c>
      <c r="V21" s="14">
        <v>0.86009999999999998</v>
      </c>
      <c r="W21" s="14">
        <v>4.9739699999999996</v>
      </c>
      <c r="X21" s="11">
        <v>139</v>
      </c>
      <c r="Y21" s="10">
        <v>43305</v>
      </c>
      <c r="Z21" s="11">
        <v>7760846260</v>
      </c>
      <c r="AA21" s="12" t="s">
        <v>57</v>
      </c>
      <c r="AB21" s="11" t="s">
        <v>58</v>
      </c>
      <c r="AC21" s="12" t="s">
        <v>59</v>
      </c>
      <c r="AD21" s="11" t="s">
        <v>44</v>
      </c>
      <c r="AE21" s="12" t="s">
        <v>45</v>
      </c>
      <c r="AF21" s="14">
        <v>5.8340699999999995E-2</v>
      </c>
      <c r="AG21" s="11" t="s">
        <v>46</v>
      </c>
    </row>
    <row r="22" spans="1:33" x14ac:dyDescent="0.2">
      <c r="A22" s="8">
        <v>4161</v>
      </c>
      <c r="B22" s="9" t="s">
        <v>90</v>
      </c>
      <c r="C22" s="10">
        <v>43308</v>
      </c>
      <c r="D22" s="11">
        <v>157</v>
      </c>
      <c r="E22" s="12" t="s">
        <v>34</v>
      </c>
      <c r="F22" s="12" t="s">
        <v>35</v>
      </c>
      <c r="G22" s="12" t="s">
        <v>36</v>
      </c>
      <c r="H22" s="12" t="s">
        <v>37</v>
      </c>
      <c r="I22" s="11" t="s">
        <v>107</v>
      </c>
      <c r="J22" s="12" t="s">
        <v>108</v>
      </c>
      <c r="K22" s="13" t="s">
        <v>74</v>
      </c>
      <c r="L22" s="11" t="str">
        <f>"000177"</f>
        <v>000177</v>
      </c>
      <c r="M22" s="10">
        <v>43154</v>
      </c>
      <c r="N22" s="11" t="str">
        <f>"000051"</f>
        <v>000051</v>
      </c>
      <c r="O22" s="10">
        <v>43279</v>
      </c>
      <c r="P22" s="11" t="str">
        <f>"000092"</f>
        <v>000092</v>
      </c>
      <c r="Q22" s="10">
        <v>43281</v>
      </c>
      <c r="R22" s="11">
        <v>18</v>
      </c>
      <c r="S22" s="11" t="str">
        <f>"004428"</f>
        <v>004428</v>
      </c>
      <c r="T22" s="10">
        <v>43306</v>
      </c>
      <c r="U22" s="14">
        <v>4.9810999999999996</v>
      </c>
      <c r="V22" s="14">
        <v>0.40347</v>
      </c>
      <c r="W22" s="14">
        <v>4.5776300000000001</v>
      </c>
      <c r="X22" s="11">
        <v>145</v>
      </c>
      <c r="Y22" s="10">
        <v>43308</v>
      </c>
      <c r="Z22" s="11">
        <v>9060992820</v>
      </c>
      <c r="AA22" s="12" t="s">
        <v>57</v>
      </c>
      <c r="AB22" s="11" t="s">
        <v>50</v>
      </c>
      <c r="AC22" s="12" t="s">
        <v>51</v>
      </c>
      <c r="AD22" s="11" t="s">
        <v>44</v>
      </c>
      <c r="AE22" s="12" t="s">
        <v>45</v>
      </c>
      <c r="AF22" s="14">
        <v>4.9810999999999994E-2</v>
      </c>
      <c r="AG22" s="11" t="s">
        <v>75</v>
      </c>
    </row>
    <row r="23" spans="1:33" x14ac:dyDescent="0.2">
      <c r="A23" s="8">
        <v>4162</v>
      </c>
      <c r="B23" s="9" t="s">
        <v>90</v>
      </c>
      <c r="C23" s="10">
        <v>43308</v>
      </c>
      <c r="D23" s="11">
        <v>157</v>
      </c>
      <c r="E23" s="12" t="s">
        <v>34</v>
      </c>
      <c r="F23" s="12" t="s">
        <v>35</v>
      </c>
      <c r="G23" s="12" t="s">
        <v>36</v>
      </c>
      <c r="H23" s="12" t="s">
        <v>37</v>
      </c>
      <c r="I23" s="11" t="s">
        <v>100</v>
      </c>
      <c r="J23" s="12" t="s">
        <v>101</v>
      </c>
      <c r="K23" s="13" t="s">
        <v>40</v>
      </c>
      <c r="L23" s="11" t="str">
        <f>"000009"</f>
        <v>000009</v>
      </c>
      <c r="M23" s="10">
        <v>42931</v>
      </c>
      <c r="N23" s="11" t="str">
        <f>"000145"</f>
        <v>000145</v>
      </c>
      <c r="O23" s="10">
        <v>43186</v>
      </c>
      <c r="P23" s="11" t="str">
        <f>"000151"</f>
        <v>000151</v>
      </c>
      <c r="Q23" s="10">
        <v>43186</v>
      </c>
      <c r="R23" s="11">
        <v>16</v>
      </c>
      <c r="S23" s="11" t="str">
        <f>"004327"</f>
        <v>004327</v>
      </c>
      <c r="T23" s="10">
        <v>43306</v>
      </c>
      <c r="U23" s="14">
        <v>1.36026</v>
      </c>
      <c r="V23" s="14">
        <v>0.12959000000000001</v>
      </c>
      <c r="W23" s="14">
        <v>1.2306699999999999</v>
      </c>
      <c r="X23" s="11">
        <v>146</v>
      </c>
      <c r="Y23" s="10">
        <v>43308</v>
      </c>
      <c r="Z23" s="11">
        <v>0</v>
      </c>
      <c r="AA23" s="12" t="s">
        <v>102</v>
      </c>
      <c r="AB23" s="11" t="s">
        <v>103</v>
      </c>
      <c r="AC23" s="12" t="s">
        <v>104</v>
      </c>
      <c r="AD23" s="11" t="s">
        <v>52</v>
      </c>
      <c r="AE23" s="12" t="s">
        <v>53</v>
      </c>
      <c r="AF23" s="14">
        <v>1.3602599999999999E-2</v>
      </c>
      <c r="AG23" s="11" t="s">
        <v>46</v>
      </c>
    </row>
    <row r="24" spans="1:33" x14ac:dyDescent="0.2">
      <c r="A24" s="8">
        <v>4576</v>
      </c>
      <c r="B24" s="9" t="s">
        <v>109</v>
      </c>
      <c r="C24" s="10">
        <v>43318</v>
      </c>
      <c r="D24" s="11">
        <v>157</v>
      </c>
      <c r="E24" s="12" t="s">
        <v>34</v>
      </c>
      <c r="F24" s="12" t="s">
        <v>35</v>
      </c>
      <c r="G24" s="12" t="s">
        <v>36</v>
      </c>
      <c r="H24" s="12" t="s">
        <v>37</v>
      </c>
      <c r="I24" s="11" t="s">
        <v>110</v>
      </c>
      <c r="J24" s="12" t="s">
        <v>111</v>
      </c>
      <c r="K24" s="13" t="s">
        <v>112</v>
      </c>
      <c r="L24" s="11" t="str">
        <f>"00 097"</f>
        <v>00 097</v>
      </c>
      <c r="M24" s="10">
        <v>42667</v>
      </c>
      <c r="N24" s="11" t="str">
        <f>"015"</f>
        <v>015</v>
      </c>
      <c r="O24" s="10">
        <v>17</v>
      </c>
      <c r="P24" s="11" t="str">
        <f>"031"</f>
        <v>031</v>
      </c>
      <c r="Q24" s="10">
        <v>17</v>
      </c>
      <c r="R24" s="11">
        <v>17</v>
      </c>
      <c r="S24" s="11" t="str">
        <f>"004856"</f>
        <v>004856</v>
      </c>
      <c r="T24" s="10">
        <v>43316</v>
      </c>
      <c r="U24" s="14">
        <v>9.9920000000000009</v>
      </c>
      <c r="V24" s="14">
        <v>1.45892</v>
      </c>
      <c r="W24" s="14">
        <v>8.53308</v>
      </c>
      <c r="X24" s="11">
        <v>158</v>
      </c>
      <c r="Y24" s="10">
        <v>43318</v>
      </c>
      <c r="Z24" s="11">
        <v>9900051631</v>
      </c>
      <c r="AA24" s="12" t="s">
        <v>113</v>
      </c>
      <c r="AB24" s="11" t="s">
        <v>114</v>
      </c>
      <c r="AC24" s="12" t="s">
        <v>115</v>
      </c>
      <c r="AD24" s="11" t="s">
        <v>116</v>
      </c>
      <c r="AE24" s="12" t="s">
        <v>117</v>
      </c>
      <c r="AF24" s="14">
        <v>9.9920000000000009E-2</v>
      </c>
      <c r="AG24" s="11" t="s">
        <v>46</v>
      </c>
    </row>
    <row r="25" spans="1:33" x14ac:dyDescent="0.2">
      <c r="A25" s="8">
        <v>4577</v>
      </c>
      <c r="B25" s="9" t="s">
        <v>109</v>
      </c>
      <c r="C25" s="10">
        <v>43318</v>
      </c>
      <c r="D25" s="11">
        <v>157</v>
      </c>
      <c r="E25" s="12" t="s">
        <v>34</v>
      </c>
      <c r="F25" s="12" t="s">
        <v>35</v>
      </c>
      <c r="G25" s="12" t="s">
        <v>36</v>
      </c>
      <c r="H25" s="12" t="s">
        <v>37</v>
      </c>
      <c r="I25" s="11" t="s">
        <v>118</v>
      </c>
      <c r="J25" s="12" t="s">
        <v>119</v>
      </c>
      <c r="K25" s="13" t="s">
        <v>112</v>
      </c>
      <c r="L25" s="11" t="str">
        <f>"000122"</f>
        <v>000122</v>
      </c>
      <c r="M25" s="10">
        <v>42704</v>
      </c>
      <c r="N25" s="11" t="str">
        <f>"014"</f>
        <v>014</v>
      </c>
      <c r="O25" s="10">
        <v>17</v>
      </c>
      <c r="P25" s="11" t="str">
        <f>"032"</f>
        <v>032</v>
      </c>
      <c r="Q25" s="10">
        <v>17</v>
      </c>
      <c r="R25" s="11">
        <v>17</v>
      </c>
      <c r="S25" s="11" t="str">
        <f>"004857"</f>
        <v>004857</v>
      </c>
      <c r="T25" s="10">
        <v>43316</v>
      </c>
      <c r="U25" s="14">
        <v>24.95675</v>
      </c>
      <c r="V25" s="14">
        <v>3.7441</v>
      </c>
      <c r="W25" s="14">
        <v>21.21265</v>
      </c>
      <c r="X25" s="11">
        <v>158</v>
      </c>
      <c r="Y25" s="10">
        <v>43318</v>
      </c>
      <c r="Z25" s="11">
        <v>9900051631</v>
      </c>
      <c r="AA25" s="12" t="s">
        <v>113</v>
      </c>
      <c r="AB25" s="11" t="s">
        <v>114</v>
      </c>
      <c r="AC25" s="12" t="s">
        <v>115</v>
      </c>
      <c r="AD25" s="11" t="s">
        <v>116</v>
      </c>
      <c r="AE25" s="12" t="s">
        <v>117</v>
      </c>
      <c r="AF25" s="14">
        <v>0.2495675</v>
      </c>
      <c r="AG25" s="11" t="s">
        <v>46</v>
      </c>
    </row>
    <row r="26" spans="1:33" x14ac:dyDescent="0.2">
      <c r="A26" s="8">
        <v>4578</v>
      </c>
      <c r="B26" s="9" t="s">
        <v>109</v>
      </c>
      <c r="C26" s="10">
        <v>43318</v>
      </c>
      <c r="D26" s="11">
        <v>157</v>
      </c>
      <c r="E26" s="12" t="s">
        <v>34</v>
      </c>
      <c r="F26" s="12" t="s">
        <v>35</v>
      </c>
      <c r="G26" s="12" t="s">
        <v>36</v>
      </c>
      <c r="H26" s="12" t="s">
        <v>37</v>
      </c>
      <c r="I26" s="11" t="s">
        <v>120</v>
      </c>
      <c r="J26" s="12" t="s">
        <v>121</v>
      </c>
      <c r="K26" s="13" t="s">
        <v>56</v>
      </c>
      <c r="L26" s="11" t="str">
        <f>"000009"</f>
        <v>000009</v>
      </c>
      <c r="M26" s="10">
        <v>42947</v>
      </c>
      <c r="N26" s="11" t="str">
        <f>""</f>
        <v/>
      </c>
      <c r="O26" s="10"/>
      <c r="P26" s="11" t="str">
        <f>""</f>
        <v/>
      </c>
      <c r="Q26" s="10"/>
      <c r="R26" s="11">
        <v>17</v>
      </c>
      <c r="S26" s="11" t="str">
        <f>""</f>
        <v/>
      </c>
      <c r="T26" s="10"/>
      <c r="U26" s="14">
        <v>6.9569999999999999</v>
      </c>
      <c r="V26" s="14">
        <v>0.84719999999999995</v>
      </c>
      <c r="W26" s="14">
        <v>6.1097999999999999</v>
      </c>
      <c r="X26" s="11">
        <v>160</v>
      </c>
      <c r="Y26" s="10">
        <v>43318</v>
      </c>
      <c r="Z26" s="11">
        <v>7760846260</v>
      </c>
      <c r="AA26" s="12" t="s">
        <v>122</v>
      </c>
      <c r="AB26" s="11" t="s">
        <v>70</v>
      </c>
      <c r="AC26" s="12" t="s">
        <v>71</v>
      </c>
      <c r="AD26" s="11" t="s">
        <v>44</v>
      </c>
      <c r="AE26" s="12" t="s">
        <v>45</v>
      </c>
      <c r="AF26" s="14">
        <v>6.9569999999999993E-2</v>
      </c>
      <c r="AG26" s="11" t="s">
        <v>46</v>
      </c>
    </row>
    <row r="27" spans="1:33" x14ac:dyDescent="0.2">
      <c r="A27" s="8">
        <v>4882</v>
      </c>
      <c r="B27" s="9" t="s">
        <v>109</v>
      </c>
      <c r="C27" s="10">
        <v>43326</v>
      </c>
      <c r="D27" s="11">
        <v>157</v>
      </c>
      <c r="E27" s="12" t="s">
        <v>34</v>
      </c>
      <c r="F27" s="12" t="s">
        <v>35</v>
      </c>
      <c r="G27" s="12" t="s">
        <v>36</v>
      </c>
      <c r="H27" s="12" t="s">
        <v>37</v>
      </c>
      <c r="I27" s="11" t="s">
        <v>123</v>
      </c>
      <c r="J27" s="12" t="s">
        <v>124</v>
      </c>
      <c r="K27" s="13" t="s">
        <v>56</v>
      </c>
      <c r="L27" s="11" t="str">
        <f>"000033"</f>
        <v>000033</v>
      </c>
      <c r="M27" s="10">
        <v>42881</v>
      </c>
      <c r="N27" s="11" t="str">
        <f>"000068"</f>
        <v>000068</v>
      </c>
      <c r="O27" s="10">
        <v>42914</v>
      </c>
      <c r="P27" s="11" t="str">
        <f>"000080"</f>
        <v>000080</v>
      </c>
      <c r="Q27" s="10">
        <v>42915</v>
      </c>
      <c r="R27" s="11">
        <v>17</v>
      </c>
      <c r="S27" s="11" t="str">
        <f>"004981"</f>
        <v>004981</v>
      </c>
      <c r="T27" s="10">
        <v>43320</v>
      </c>
      <c r="U27" s="14">
        <v>1.7985199999999999</v>
      </c>
      <c r="V27" s="14">
        <v>0.19964000000000001</v>
      </c>
      <c r="W27" s="14">
        <v>1.5988800000000001</v>
      </c>
      <c r="X27" s="11">
        <v>171</v>
      </c>
      <c r="Y27" s="10">
        <v>43326</v>
      </c>
      <c r="Z27" s="11">
        <v>9945370292</v>
      </c>
      <c r="AA27" s="12" t="s">
        <v>125</v>
      </c>
      <c r="AB27" s="11" t="s">
        <v>70</v>
      </c>
      <c r="AC27" s="12" t="s">
        <v>71</v>
      </c>
      <c r="AD27" s="11" t="s">
        <v>44</v>
      </c>
      <c r="AE27" s="12" t="s">
        <v>45</v>
      </c>
      <c r="AF27" s="14">
        <v>1.79852E-2</v>
      </c>
      <c r="AG27" s="11" t="s">
        <v>46</v>
      </c>
    </row>
    <row r="28" spans="1:33" x14ac:dyDescent="0.2">
      <c r="A28" s="8">
        <v>4883</v>
      </c>
      <c r="B28" s="9" t="s">
        <v>109</v>
      </c>
      <c r="C28" s="10">
        <v>43326</v>
      </c>
      <c r="D28" s="11">
        <v>157</v>
      </c>
      <c r="E28" s="12" t="s">
        <v>34</v>
      </c>
      <c r="F28" s="12" t="s">
        <v>35</v>
      </c>
      <c r="G28" s="12" t="s">
        <v>36</v>
      </c>
      <c r="H28" s="12" t="s">
        <v>37</v>
      </c>
      <c r="I28" s="11" t="s">
        <v>126</v>
      </c>
      <c r="J28" s="12" t="s">
        <v>127</v>
      </c>
      <c r="K28" s="13" t="s">
        <v>128</v>
      </c>
      <c r="L28" s="11" t="str">
        <f>"000036"</f>
        <v>000036</v>
      </c>
      <c r="M28" s="10">
        <v>42881</v>
      </c>
      <c r="N28" s="11" t="str">
        <f>"000070"</f>
        <v>000070</v>
      </c>
      <c r="O28" s="10">
        <v>42914</v>
      </c>
      <c r="P28" s="11" t="str">
        <f>"000081"</f>
        <v>000081</v>
      </c>
      <c r="Q28" s="10">
        <v>42915</v>
      </c>
      <c r="R28" s="11">
        <v>17</v>
      </c>
      <c r="S28" s="11" t="str">
        <f>"005028"</f>
        <v>005028</v>
      </c>
      <c r="T28" s="10">
        <v>43321</v>
      </c>
      <c r="U28" s="14">
        <v>4.0918000000000001</v>
      </c>
      <c r="V28" s="14">
        <v>0.50738000000000005</v>
      </c>
      <c r="W28" s="14">
        <v>3.5844200000000002</v>
      </c>
      <c r="X28" s="11">
        <v>171</v>
      </c>
      <c r="Y28" s="10">
        <v>43326</v>
      </c>
      <c r="Z28" s="11">
        <v>9945370292</v>
      </c>
      <c r="AA28" s="12" t="s">
        <v>125</v>
      </c>
      <c r="AB28" s="11" t="s">
        <v>70</v>
      </c>
      <c r="AC28" s="12" t="s">
        <v>71</v>
      </c>
      <c r="AD28" s="11" t="s">
        <v>44</v>
      </c>
      <c r="AE28" s="12" t="s">
        <v>45</v>
      </c>
      <c r="AF28" s="14">
        <v>4.0918000000000003E-2</v>
      </c>
      <c r="AG28" s="11" t="s">
        <v>46</v>
      </c>
    </row>
    <row r="29" spans="1:33" x14ac:dyDescent="0.2">
      <c r="A29" s="8">
        <v>5321</v>
      </c>
      <c r="B29" s="9" t="s">
        <v>129</v>
      </c>
      <c r="C29" s="10">
        <v>43346</v>
      </c>
      <c r="D29" s="11">
        <v>157</v>
      </c>
      <c r="E29" s="12" t="s">
        <v>34</v>
      </c>
      <c r="F29" s="12" t="s">
        <v>35</v>
      </c>
      <c r="G29" s="12" t="s">
        <v>36</v>
      </c>
      <c r="H29" s="12" t="s">
        <v>37</v>
      </c>
      <c r="I29" s="11" t="s">
        <v>130</v>
      </c>
      <c r="J29" s="12" t="s">
        <v>131</v>
      </c>
      <c r="K29" s="13" t="s">
        <v>99</v>
      </c>
      <c r="L29" s="11" t="str">
        <f>"000032"</f>
        <v>000032</v>
      </c>
      <c r="M29" s="10">
        <v>42892</v>
      </c>
      <c r="N29" s="11" t="str">
        <f>""</f>
        <v/>
      </c>
      <c r="O29" s="10"/>
      <c r="P29" s="11" t="str">
        <f>""</f>
        <v/>
      </c>
      <c r="Q29" s="10"/>
      <c r="R29" s="11">
        <v>16</v>
      </c>
      <c r="S29" s="11" t="str">
        <f>""</f>
        <v/>
      </c>
      <c r="T29" s="10"/>
      <c r="U29" s="14">
        <v>5.2320000000000002</v>
      </c>
      <c r="V29" s="14">
        <v>0.64449999999999996</v>
      </c>
      <c r="W29" s="14">
        <v>4.5875000000000004</v>
      </c>
      <c r="X29" s="11">
        <v>191</v>
      </c>
      <c r="Y29" s="10">
        <v>43346</v>
      </c>
      <c r="Z29" s="11">
        <v>7892699026</v>
      </c>
      <c r="AA29" s="12" t="s">
        <v>132</v>
      </c>
      <c r="AB29" s="11" t="s">
        <v>133</v>
      </c>
      <c r="AC29" s="12" t="s">
        <v>134</v>
      </c>
      <c r="AD29" s="11" t="s">
        <v>44</v>
      </c>
      <c r="AE29" s="12" t="s">
        <v>45</v>
      </c>
      <c r="AF29" s="14">
        <f t="shared" ref="AF29:AF57" si="0">U29/100</f>
        <v>5.2320000000000005E-2</v>
      </c>
      <c r="AG29" s="11" t="s">
        <v>46</v>
      </c>
    </row>
    <row r="30" spans="1:33" x14ac:dyDescent="0.2">
      <c r="A30" s="8">
        <v>5322</v>
      </c>
      <c r="B30" s="9" t="s">
        <v>129</v>
      </c>
      <c r="C30" s="10">
        <v>43346</v>
      </c>
      <c r="D30" s="11">
        <v>157</v>
      </c>
      <c r="E30" s="12" t="s">
        <v>34</v>
      </c>
      <c r="F30" s="12" t="s">
        <v>35</v>
      </c>
      <c r="G30" s="12" t="s">
        <v>36</v>
      </c>
      <c r="H30" s="12" t="s">
        <v>37</v>
      </c>
      <c r="I30" s="11" t="s">
        <v>135</v>
      </c>
      <c r="J30" s="12" t="s">
        <v>136</v>
      </c>
      <c r="K30" s="13" t="s">
        <v>56</v>
      </c>
      <c r="L30" s="11" t="str">
        <f>"000031"</f>
        <v>000031</v>
      </c>
      <c r="M30" s="10">
        <v>42881</v>
      </c>
      <c r="N30" s="11" t="str">
        <f>""</f>
        <v/>
      </c>
      <c r="O30" s="10"/>
      <c r="P30" s="11" t="str">
        <f>""</f>
        <v/>
      </c>
      <c r="Q30" s="10"/>
      <c r="R30" s="11">
        <v>17</v>
      </c>
      <c r="S30" s="11" t="str">
        <f>""</f>
        <v/>
      </c>
      <c r="T30" s="10"/>
      <c r="U30" s="14">
        <v>14.584</v>
      </c>
      <c r="V30" s="14">
        <v>1.9397</v>
      </c>
      <c r="W30" s="14">
        <v>12.644299999999999</v>
      </c>
      <c r="X30" s="11">
        <v>191</v>
      </c>
      <c r="Y30" s="10">
        <v>43346</v>
      </c>
      <c r="Z30" s="11">
        <v>7892699026</v>
      </c>
      <c r="AA30" s="12" t="s">
        <v>132</v>
      </c>
      <c r="AB30" s="11" t="s">
        <v>70</v>
      </c>
      <c r="AC30" s="12" t="s">
        <v>71</v>
      </c>
      <c r="AD30" s="11" t="s">
        <v>44</v>
      </c>
      <c r="AE30" s="12" t="s">
        <v>45</v>
      </c>
      <c r="AF30" s="14">
        <f t="shared" si="0"/>
        <v>0.14584</v>
      </c>
      <c r="AG30" s="11" t="s">
        <v>46</v>
      </c>
    </row>
    <row r="31" spans="1:33" x14ac:dyDescent="0.2">
      <c r="A31" s="8">
        <v>5503</v>
      </c>
      <c r="B31" s="9" t="s">
        <v>129</v>
      </c>
      <c r="C31" s="10">
        <v>43357</v>
      </c>
      <c r="D31" s="11">
        <v>157</v>
      </c>
      <c r="E31" s="12" t="s">
        <v>34</v>
      </c>
      <c r="F31" s="12" t="s">
        <v>35</v>
      </c>
      <c r="G31" s="12" t="s">
        <v>36</v>
      </c>
      <c r="H31" s="12" t="s">
        <v>37</v>
      </c>
      <c r="I31" s="11" t="s">
        <v>137</v>
      </c>
      <c r="J31" s="12" t="s">
        <v>138</v>
      </c>
      <c r="K31" s="13" t="s">
        <v>56</v>
      </c>
      <c r="L31" s="11" t="str">
        <f>"000067"</f>
        <v>000067</v>
      </c>
      <c r="M31" s="10">
        <v>43074</v>
      </c>
      <c r="N31" s="11" t="str">
        <f>"000067"</f>
        <v>000067</v>
      </c>
      <c r="O31" s="10">
        <v>43075</v>
      </c>
      <c r="P31" s="11" t="str">
        <f>"000072"</f>
        <v>000072</v>
      </c>
      <c r="Q31" s="10">
        <v>43075</v>
      </c>
      <c r="R31" s="11">
        <v>17</v>
      </c>
      <c r="S31" s="11" t="str">
        <f>"005689"</f>
        <v>005689</v>
      </c>
      <c r="T31" s="10">
        <v>43350</v>
      </c>
      <c r="U31" s="14">
        <v>1.8822000000000001</v>
      </c>
      <c r="V31" s="14">
        <v>8.2159999999999997E-2</v>
      </c>
      <c r="W31" s="14">
        <v>1.8000400000000001</v>
      </c>
      <c r="X31" s="11">
        <v>204</v>
      </c>
      <c r="Y31" s="10">
        <v>43357</v>
      </c>
      <c r="Z31" s="11">
        <v>9845814773</v>
      </c>
      <c r="AA31" s="12" t="s">
        <v>139</v>
      </c>
      <c r="AB31" s="11" t="s">
        <v>70</v>
      </c>
      <c r="AC31" s="12" t="s">
        <v>71</v>
      </c>
      <c r="AD31" s="11" t="s">
        <v>44</v>
      </c>
      <c r="AE31" s="12" t="s">
        <v>45</v>
      </c>
      <c r="AF31" s="14">
        <f t="shared" si="0"/>
        <v>1.8822000000000002E-2</v>
      </c>
      <c r="AG31" s="11" t="s">
        <v>46</v>
      </c>
    </row>
    <row r="32" spans="1:33" x14ac:dyDescent="0.2">
      <c r="A32" s="8">
        <v>5551</v>
      </c>
      <c r="B32" s="9" t="s">
        <v>129</v>
      </c>
      <c r="C32" s="10">
        <v>43362</v>
      </c>
      <c r="D32" s="11">
        <v>157</v>
      </c>
      <c r="E32" s="12" t="s">
        <v>34</v>
      </c>
      <c r="F32" s="12" t="s">
        <v>35</v>
      </c>
      <c r="G32" s="12" t="s">
        <v>36</v>
      </c>
      <c r="H32" s="12" t="s">
        <v>37</v>
      </c>
      <c r="I32" s="11" t="s">
        <v>140</v>
      </c>
      <c r="J32" s="12" t="s">
        <v>141</v>
      </c>
      <c r="K32" s="13" t="s">
        <v>40</v>
      </c>
      <c r="L32" s="11" t="str">
        <f>"000173"</f>
        <v>000173</v>
      </c>
      <c r="M32" s="10">
        <v>41698</v>
      </c>
      <c r="N32" s="11" t="str">
        <f>"199"</f>
        <v>199</v>
      </c>
      <c r="O32" s="10">
        <v>16</v>
      </c>
      <c r="P32" s="11" t="str">
        <f>"000255"</f>
        <v>000255</v>
      </c>
      <c r="Q32" s="10">
        <v>42613</v>
      </c>
      <c r="R32" s="11">
        <v>13</v>
      </c>
      <c r="S32" s="11" t="str">
        <f>"005598"</f>
        <v>005598</v>
      </c>
      <c r="T32" s="10">
        <v>43347</v>
      </c>
      <c r="U32" s="14">
        <v>18.498999999999999</v>
      </c>
      <c r="V32" s="14">
        <v>2.5554999999999999</v>
      </c>
      <c r="W32" s="14">
        <v>15.9435</v>
      </c>
      <c r="X32" s="11">
        <v>207</v>
      </c>
      <c r="Y32" s="10">
        <v>43362</v>
      </c>
      <c r="Z32" s="11">
        <v>9945370292</v>
      </c>
      <c r="AA32" s="12" t="s">
        <v>142</v>
      </c>
      <c r="AB32" s="11" t="s">
        <v>70</v>
      </c>
      <c r="AC32" s="12" t="s">
        <v>71</v>
      </c>
      <c r="AD32" s="11" t="s">
        <v>44</v>
      </c>
      <c r="AE32" s="12" t="s">
        <v>45</v>
      </c>
      <c r="AF32" s="14">
        <f t="shared" si="0"/>
        <v>0.18498999999999999</v>
      </c>
      <c r="AG32" s="11" t="s">
        <v>46</v>
      </c>
    </row>
    <row r="33" spans="1:33" x14ac:dyDescent="0.2">
      <c r="A33" s="8">
        <v>5552</v>
      </c>
      <c r="B33" s="9" t="s">
        <v>129</v>
      </c>
      <c r="C33" s="10">
        <v>43362</v>
      </c>
      <c r="D33" s="11">
        <v>157</v>
      </c>
      <c r="E33" s="12" t="s">
        <v>34</v>
      </c>
      <c r="F33" s="12" t="s">
        <v>35</v>
      </c>
      <c r="G33" s="12" t="s">
        <v>36</v>
      </c>
      <c r="H33" s="12" t="s">
        <v>37</v>
      </c>
      <c r="I33" s="11" t="s">
        <v>143</v>
      </c>
      <c r="J33" s="12" t="s">
        <v>144</v>
      </c>
      <c r="K33" s="13" t="s">
        <v>56</v>
      </c>
      <c r="L33" s="11" t="str">
        <f>"00070a"</f>
        <v>00070a</v>
      </c>
      <c r="M33" s="10">
        <v>42604</v>
      </c>
      <c r="N33" s="11" t="str">
        <f>"000242"</f>
        <v>000242</v>
      </c>
      <c r="O33" s="10">
        <v>42670</v>
      </c>
      <c r="P33" s="11" t="str">
        <f>"000367"</f>
        <v>000367</v>
      </c>
      <c r="Q33" s="10">
        <v>42671</v>
      </c>
      <c r="R33" s="11">
        <v>16</v>
      </c>
      <c r="S33" s="11" t="str">
        <f>"005716"</f>
        <v>005716</v>
      </c>
      <c r="T33" s="10">
        <v>43353</v>
      </c>
      <c r="U33" s="14">
        <v>6.9950000000000001</v>
      </c>
      <c r="V33" s="14">
        <v>0.76246999999999998</v>
      </c>
      <c r="W33" s="14">
        <v>6.2325299999999997</v>
      </c>
      <c r="X33" s="11">
        <v>207</v>
      </c>
      <c r="Y33" s="10">
        <v>43362</v>
      </c>
      <c r="Z33" s="11">
        <v>9980806262</v>
      </c>
      <c r="AA33" s="12" t="s">
        <v>145</v>
      </c>
      <c r="AB33" s="11" t="s">
        <v>70</v>
      </c>
      <c r="AC33" s="12" t="s">
        <v>71</v>
      </c>
      <c r="AD33" s="11" t="s">
        <v>44</v>
      </c>
      <c r="AE33" s="12" t="s">
        <v>45</v>
      </c>
      <c r="AF33" s="14">
        <f t="shared" si="0"/>
        <v>6.9949999999999998E-2</v>
      </c>
      <c r="AG33" s="11" t="s">
        <v>46</v>
      </c>
    </row>
    <row r="34" spans="1:33" x14ac:dyDescent="0.2">
      <c r="A34" s="8">
        <v>5731</v>
      </c>
      <c r="B34" s="9" t="s">
        <v>129</v>
      </c>
      <c r="C34" s="10">
        <v>43370</v>
      </c>
      <c r="D34" s="11">
        <v>157</v>
      </c>
      <c r="E34" s="12" t="s">
        <v>34</v>
      </c>
      <c r="F34" s="12" t="s">
        <v>35</v>
      </c>
      <c r="G34" s="12" t="s">
        <v>36</v>
      </c>
      <c r="H34" s="12" t="s">
        <v>37</v>
      </c>
      <c r="I34" s="11" t="s">
        <v>146</v>
      </c>
      <c r="J34" s="12" t="s">
        <v>147</v>
      </c>
      <c r="K34" s="13" t="s">
        <v>40</v>
      </c>
      <c r="L34" s="11" t="str">
        <f>"000105"</f>
        <v>000105</v>
      </c>
      <c r="M34" s="10">
        <v>42818</v>
      </c>
      <c r="N34" s="11" t="str">
        <f>"000019"</f>
        <v>000019</v>
      </c>
      <c r="O34" s="10">
        <v>42853</v>
      </c>
      <c r="P34" s="11" t="str">
        <f>"000015"</f>
        <v>000015</v>
      </c>
      <c r="Q34" s="10">
        <v>42853</v>
      </c>
      <c r="R34" s="11">
        <v>17</v>
      </c>
      <c r="S34" s="11" t="str">
        <f>"005899"</f>
        <v>005899</v>
      </c>
      <c r="T34" s="10">
        <v>43367</v>
      </c>
      <c r="U34" s="14">
        <v>17.352650000000001</v>
      </c>
      <c r="V34" s="14">
        <v>2.2384900000000001</v>
      </c>
      <c r="W34" s="14">
        <v>15.11416</v>
      </c>
      <c r="X34" s="11">
        <v>217</v>
      </c>
      <c r="Y34" s="10">
        <v>43370</v>
      </c>
      <c r="Z34" s="11">
        <v>9731372865</v>
      </c>
      <c r="AA34" s="12" t="s">
        <v>69</v>
      </c>
      <c r="AB34" s="11" t="s">
        <v>70</v>
      </c>
      <c r="AC34" s="12" t="s">
        <v>71</v>
      </c>
      <c r="AD34" s="11" t="s">
        <v>44</v>
      </c>
      <c r="AE34" s="12" t="s">
        <v>45</v>
      </c>
      <c r="AF34" s="14">
        <f t="shared" si="0"/>
        <v>0.1735265</v>
      </c>
      <c r="AG34" s="11" t="s">
        <v>46</v>
      </c>
    </row>
    <row r="35" spans="1:33" x14ac:dyDescent="0.2">
      <c r="A35" s="8">
        <v>5732</v>
      </c>
      <c r="B35" s="9" t="s">
        <v>129</v>
      </c>
      <c r="C35" s="10">
        <v>43370</v>
      </c>
      <c r="D35" s="11">
        <v>157</v>
      </c>
      <c r="E35" s="12" t="s">
        <v>34</v>
      </c>
      <c r="F35" s="12" t="s">
        <v>35</v>
      </c>
      <c r="G35" s="12" t="s">
        <v>36</v>
      </c>
      <c r="H35" s="12" t="s">
        <v>37</v>
      </c>
      <c r="I35" s="11" t="s">
        <v>148</v>
      </c>
      <c r="J35" s="12" t="s">
        <v>149</v>
      </c>
      <c r="K35" s="13" t="s">
        <v>56</v>
      </c>
      <c r="L35" s="11" t="str">
        <f>"000107"</f>
        <v>000107</v>
      </c>
      <c r="M35" s="10">
        <v>42818</v>
      </c>
      <c r="N35" s="11" t="str">
        <f>"000027"</f>
        <v>000027</v>
      </c>
      <c r="O35" s="10">
        <v>42853</v>
      </c>
      <c r="P35" s="11" t="str">
        <f>"000022"</f>
        <v>000022</v>
      </c>
      <c r="Q35" s="10">
        <v>42853</v>
      </c>
      <c r="R35" s="11">
        <v>17</v>
      </c>
      <c r="S35" s="11" t="str">
        <f>"005902"</f>
        <v>005902</v>
      </c>
      <c r="T35" s="10">
        <v>43367</v>
      </c>
      <c r="U35" s="14">
        <v>3.93</v>
      </c>
      <c r="V35" s="14">
        <v>0.47553000000000001</v>
      </c>
      <c r="W35" s="14">
        <v>3.4544700000000002</v>
      </c>
      <c r="X35" s="11">
        <v>217</v>
      </c>
      <c r="Y35" s="10">
        <v>43370</v>
      </c>
      <c r="Z35" s="11">
        <v>9845157138</v>
      </c>
      <c r="AA35" s="12" t="s">
        <v>150</v>
      </c>
      <c r="AB35" s="11" t="s">
        <v>70</v>
      </c>
      <c r="AC35" s="12" t="s">
        <v>71</v>
      </c>
      <c r="AD35" s="11" t="s">
        <v>44</v>
      </c>
      <c r="AE35" s="12" t="s">
        <v>45</v>
      </c>
      <c r="AF35" s="14">
        <f t="shared" si="0"/>
        <v>3.9300000000000002E-2</v>
      </c>
      <c r="AG35" s="11" t="s">
        <v>46</v>
      </c>
    </row>
    <row r="36" spans="1:33" x14ac:dyDescent="0.2">
      <c r="A36" s="8">
        <v>6242</v>
      </c>
      <c r="B36" s="9" t="s">
        <v>151</v>
      </c>
      <c r="C36" s="10">
        <v>43385</v>
      </c>
      <c r="D36" s="11">
        <v>157</v>
      </c>
      <c r="E36" s="12" t="s">
        <v>34</v>
      </c>
      <c r="F36" s="12" t="s">
        <v>35</v>
      </c>
      <c r="G36" s="12" t="s">
        <v>36</v>
      </c>
      <c r="H36" s="12" t="s">
        <v>37</v>
      </c>
      <c r="I36" s="11" t="s">
        <v>152</v>
      </c>
      <c r="J36" s="12" t="s">
        <v>153</v>
      </c>
      <c r="K36" s="13" t="s">
        <v>56</v>
      </c>
      <c r="L36" s="11" t="str">
        <f>"000007"</f>
        <v>000007</v>
      </c>
      <c r="M36" s="10">
        <v>42831</v>
      </c>
      <c r="N36" s="11" t="str">
        <f>""</f>
        <v/>
      </c>
      <c r="O36" s="10"/>
      <c r="P36" s="11" t="str">
        <f>""</f>
        <v/>
      </c>
      <c r="Q36" s="10"/>
      <c r="R36" s="11">
        <v>17</v>
      </c>
      <c r="S36" s="11" t="str">
        <f>""</f>
        <v/>
      </c>
      <c r="T36" s="10"/>
      <c r="U36" s="14">
        <v>5.9980000000000002</v>
      </c>
      <c r="V36" s="14">
        <v>0.75390000000000001</v>
      </c>
      <c r="W36" s="14">
        <v>5.2441000000000004</v>
      </c>
      <c r="X36" s="11">
        <v>230</v>
      </c>
      <c r="Y36" s="10">
        <v>43385</v>
      </c>
      <c r="Z36" s="11">
        <v>7892699026</v>
      </c>
      <c r="AA36" s="12" t="s">
        <v>132</v>
      </c>
      <c r="AB36" s="11" t="s">
        <v>70</v>
      </c>
      <c r="AC36" s="12" t="s">
        <v>71</v>
      </c>
      <c r="AD36" s="11" t="s">
        <v>44</v>
      </c>
      <c r="AE36" s="12" t="s">
        <v>45</v>
      </c>
      <c r="AF36" s="14">
        <f t="shared" si="0"/>
        <v>5.9980000000000006E-2</v>
      </c>
      <c r="AG36" s="11" t="s">
        <v>46</v>
      </c>
    </row>
    <row r="37" spans="1:33" x14ac:dyDescent="0.2">
      <c r="A37" s="8">
        <v>6620</v>
      </c>
      <c r="B37" s="9" t="s">
        <v>151</v>
      </c>
      <c r="C37" s="10">
        <v>43389</v>
      </c>
      <c r="D37" s="11">
        <v>157</v>
      </c>
      <c r="E37" s="12" t="s">
        <v>34</v>
      </c>
      <c r="F37" s="12" t="s">
        <v>35</v>
      </c>
      <c r="G37" s="12" t="s">
        <v>36</v>
      </c>
      <c r="H37" s="12" t="s">
        <v>37</v>
      </c>
      <c r="I37" s="11" t="s">
        <v>154</v>
      </c>
      <c r="J37" s="12" t="s">
        <v>155</v>
      </c>
      <c r="K37" s="13" t="s">
        <v>112</v>
      </c>
      <c r="L37" s="11" t="str">
        <f>"000090"</f>
        <v>000090</v>
      </c>
      <c r="M37" s="10">
        <v>43209</v>
      </c>
      <c r="N37" s="11" t="str">
        <f>"000032"</f>
        <v>000032</v>
      </c>
      <c r="O37" s="10">
        <v>43358</v>
      </c>
      <c r="P37" s="11" t="str">
        <f>"000036"</f>
        <v>000036</v>
      </c>
      <c r="Q37" s="10">
        <v>43358</v>
      </c>
      <c r="R37" s="11">
        <v>18</v>
      </c>
      <c r="S37" s="11" t="str">
        <f>"006736"</f>
        <v>006736</v>
      </c>
      <c r="T37" s="10">
        <v>43388</v>
      </c>
      <c r="U37" s="14">
        <v>19.988569999999999</v>
      </c>
      <c r="V37" s="14">
        <v>1.8690500000000001</v>
      </c>
      <c r="W37" s="14">
        <v>18.119520000000001</v>
      </c>
      <c r="X37" s="11">
        <v>238</v>
      </c>
      <c r="Y37" s="10">
        <v>43389</v>
      </c>
      <c r="Z37" s="11">
        <v>9481273828</v>
      </c>
      <c r="AA37" s="12" t="s">
        <v>156</v>
      </c>
      <c r="AB37" s="11" t="s">
        <v>50</v>
      </c>
      <c r="AC37" s="12" t="s">
        <v>51</v>
      </c>
      <c r="AD37" s="11" t="s">
        <v>116</v>
      </c>
      <c r="AE37" s="12" t="s">
        <v>117</v>
      </c>
      <c r="AF37" s="14">
        <f t="shared" si="0"/>
        <v>0.1998857</v>
      </c>
      <c r="AG37" s="11" t="s">
        <v>85</v>
      </c>
    </row>
    <row r="38" spans="1:33" x14ac:dyDescent="0.2">
      <c r="A38" s="8">
        <v>6776</v>
      </c>
      <c r="B38" s="9" t="s">
        <v>151</v>
      </c>
      <c r="C38" s="10">
        <v>43390</v>
      </c>
      <c r="D38" s="11">
        <v>157</v>
      </c>
      <c r="E38" s="12" t="s">
        <v>34</v>
      </c>
      <c r="F38" s="12" t="s">
        <v>35</v>
      </c>
      <c r="G38" s="12" t="s">
        <v>36</v>
      </c>
      <c r="H38" s="12" t="s">
        <v>37</v>
      </c>
      <c r="I38" s="11" t="s">
        <v>157</v>
      </c>
      <c r="J38" s="12" t="s">
        <v>158</v>
      </c>
      <c r="K38" s="13" t="s">
        <v>40</v>
      </c>
      <c r="L38" s="11" t="str">
        <f>"000073"</f>
        <v>000073</v>
      </c>
      <c r="M38" s="10">
        <v>43361</v>
      </c>
      <c r="N38" s="11" t="str">
        <f>"000088"</f>
        <v>000088</v>
      </c>
      <c r="O38" s="10">
        <v>43361</v>
      </c>
      <c r="P38" s="11" t="str">
        <f>"000088"</f>
        <v>000088</v>
      </c>
      <c r="Q38" s="10">
        <v>43361</v>
      </c>
      <c r="R38" s="11">
        <v>18</v>
      </c>
      <c r="S38" s="11" t="str">
        <f>"006841"</f>
        <v>006841</v>
      </c>
      <c r="T38" s="10">
        <v>43389</v>
      </c>
      <c r="U38" s="14">
        <v>9.9816900000000004</v>
      </c>
      <c r="V38" s="14">
        <v>1.0580499999999999</v>
      </c>
      <c r="W38" s="14">
        <v>8.9236400000000007</v>
      </c>
      <c r="X38" s="11">
        <v>245</v>
      </c>
      <c r="Y38" s="10">
        <v>43390</v>
      </c>
      <c r="Z38" s="11">
        <v>0</v>
      </c>
      <c r="AA38" s="12" t="s">
        <v>159</v>
      </c>
      <c r="AB38" s="11" t="s">
        <v>160</v>
      </c>
      <c r="AC38" s="12" t="s">
        <v>161</v>
      </c>
      <c r="AD38" s="11" t="s">
        <v>52</v>
      </c>
      <c r="AE38" s="12" t="s">
        <v>53</v>
      </c>
      <c r="AF38" s="14">
        <f t="shared" si="0"/>
        <v>9.98169E-2</v>
      </c>
      <c r="AG38" s="11" t="s">
        <v>85</v>
      </c>
    </row>
    <row r="39" spans="1:33" x14ac:dyDescent="0.2">
      <c r="A39" s="8">
        <v>6857</v>
      </c>
      <c r="B39" s="9" t="s">
        <v>151</v>
      </c>
      <c r="C39" s="10">
        <v>43398</v>
      </c>
      <c r="D39" s="11">
        <v>157</v>
      </c>
      <c r="E39" s="12" t="s">
        <v>34</v>
      </c>
      <c r="F39" s="12" t="s">
        <v>35</v>
      </c>
      <c r="G39" s="12" t="s">
        <v>36</v>
      </c>
      <c r="H39" s="12" t="s">
        <v>37</v>
      </c>
      <c r="I39" s="11" t="s">
        <v>162</v>
      </c>
      <c r="J39" s="12" t="s">
        <v>163</v>
      </c>
      <c r="K39" s="13" t="s">
        <v>40</v>
      </c>
      <c r="L39" s="11" t="str">
        <f>"000271"</f>
        <v>000271</v>
      </c>
      <c r="M39" s="10">
        <v>43339</v>
      </c>
      <c r="N39" s="11" t="str">
        <f>"000063"</f>
        <v>000063</v>
      </c>
      <c r="O39" s="10">
        <v>43339</v>
      </c>
      <c r="P39" s="11" t="str">
        <f>"000123"</f>
        <v>000123</v>
      </c>
      <c r="Q39" s="10">
        <v>43339</v>
      </c>
      <c r="R39" s="11">
        <v>17</v>
      </c>
      <c r="S39" s="11" t="str">
        <f>"006914"</f>
        <v>006914</v>
      </c>
      <c r="T39" s="10">
        <v>43395</v>
      </c>
      <c r="U39" s="14">
        <v>97.628810000000001</v>
      </c>
      <c r="V39" s="14">
        <v>12.40124</v>
      </c>
      <c r="W39" s="14">
        <v>85.22757</v>
      </c>
      <c r="X39" s="11">
        <v>248</v>
      </c>
      <c r="Y39" s="10">
        <v>43398</v>
      </c>
      <c r="Z39" s="11">
        <v>9845157898</v>
      </c>
      <c r="AA39" s="12" t="s">
        <v>164</v>
      </c>
      <c r="AB39" s="11" t="s">
        <v>165</v>
      </c>
      <c r="AC39" s="12" t="s">
        <v>166</v>
      </c>
      <c r="AD39" s="11" t="s">
        <v>44</v>
      </c>
      <c r="AE39" s="12" t="s">
        <v>45</v>
      </c>
      <c r="AF39" s="14">
        <f t="shared" si="0"/>
        <v>0.97628809999999999</v>
      </c>
      <c r="AG39" s="11" t="s">
        <v>85</v>
      </c>
    </row>
    <row r="40" spans="1:33" x14ac:dyDescent="0.2">
      <c r="A40" s="8">
        <v>7113</v>
      </c>
      <c r="B40" s="9" t="s">
        <v>151</v>
      </c>
      <c r="C40" s="10">
        <v>43404</v>
      </c>
      <c r="D40" s="11">
        <v>157</v>
      </c>
      <c r="E40" s="12" t="s">
        <v>34</v>
      </c>
      <c r="F40" s="12" t="s">
        <v>35</v>
      </c>
      <c r="G40" s="12" t="s">
        <v>36</v>
      </c>
      <c r="H40" s="12" t="s">
        <v>37</v>
      </c>
      <c r="I40" s="11" t="s">
        <v>167</v>
      </c>
      <c r="J40" s="12" t="s">
        <v>168</v>
      </c>
      <c r="K40" s="13" t="s">
        <v>40</v>
      </c>
      <c r="L40" s="11" t="str">
        <f>"000029"</f>
        <v>000029</v>
      </c>
      <c r="M40" s="10">
        <v>43304</v>
      </c>
      <c r="N40" s="11" t="str">
        <f>"000072"</f>
        <v>000072</v>
      </c>
      <c r="O40" s="10">
        <v>43346</v>
      </c>
      <c r="P40" s="11" t="str">
        <f>"000133"</f>
        <v>000133</v>
      </c>
      <c r="Q40" s="10">
        <v>43346</v>
      </c>
      <c r="R40" s="11">
        <v>18</v>
      </c>
      <c r="S40" s="11" t="str">
        <f>"007126"</f>
        <v>007126</v>
      </c>
      <c r="T40" s="10">
        <v>43403</v>
      </c>
      <c r="U40" s="14">
        <v>9.9941499999999994</v>
      </c>
      <c r="V40" s="14">
        <v>1.1593100000000001</v>
      </c>
      <c r="W40" s="14">
        <v>8.8348399999999998</v>
      </c>
      <c r="X40" s="11">
        <v>259</v>
      </c>
      <c r="Y40" s="10">
        <v>43404</v>
      </c>
      <c r="Z40" s="11">
        <v>9900310919</v>
      </c>
      <c r="AA40" s="12" t="s">
        <v>169</v>
      </c>
      <c r="AB40" s="11" t="s">
        <v>170</v>
      </c>
      <c r="AC40" s="12" t="s">
        <v>171</v>
      </c>
      <c r="AD40" s="11" t="s">
        <v>44</v>
      </c>
      <c r="AE40" s="12" t="s">
        <v>45</v>
      </c>
      <c r="AF40" s="14">
        <f t="shared" si="0"/>
        <v>9.9941499999999989E-2</v>
      </c>
      <c r="AG40" s="11" t="s">
        <v>85</v>
      </c>
    </row>
    <row r="41" spans="1:33" x14ac:dyDescent="0.2">
      <c r="A41" s="8">
        <v>7114</v>
      </c>
      <c r="B41" s="9" t="s">
        <v>151</v>
      </c>
      <c r="C41" s="10">
        <v>43404</v>
      </c>
      <c r="D41" s="11">
        <v>157</v>
      </c>
      <c r="E41" s="12" t="s">
        <v>34</v>
      </c>
      <c r="F41" s="12" t="s">
        <v>35</v>
      </c>
      <c r="G41" s="12" t="s">
        <v>36</v>
      </c>
      <c r="H41" s="12" t="s">
        <v>37</v>
      </c>
      <c r="I41" s="11" t="s">
        <v>172</v>
      </c>
      <c r="J41" s="12" t="s">
        <v>173</v>
      </c>
      <c r="K41" s="13" t="s">
        <v>174</v>
      </c>
      <c r="L41" s="11" t="str">
        <f>"000020"</f>
        <v>000020</v>
      </c>
      <c r="M41" s="10">
        <v>43301</v>
      </c>
      <c r="N41" s="11" t="str">
        <f>"000078"</f>
        <v>000078</v>
      </c>
      <c r="O41" s="10">
        <v>43346</v>
      </c>
      <c r="P41" s="11" t="str">
        <f>"000139"</f>
        <v>000139</v>
      </c>
      <c r="Q41" s="10">
        <v>43346</v>
      </c>
      <c r="R41" s="11">
        <v>18</v>
      </c>
      <c r="S41" s="11" t="str">
        <f>"007068"</f>
        <v>007068</v>
      </c>
      <c r="T41" s="10">
        <v>43400</v>
      </c>
      <c r="U41" s="14">
        <v>17.8918</v>
      </c>
      <c r="V41" s="14">
        <v>2.16492</v>
      </c>
      <c r="W41" s="14">
        <v>15.72688</v>
      </c>
      <c r="X41" s="11">
        <v>260</v>
      </c>
      <c r="Y41" s="10">
        <v>43404</v>
      </c>
      <c r="Z41" s="11">
        <v>9972484999</v>
      </c>
      <c r="AA41" s="12" t="s">
        <v>169</v>
      </c>
      <c r="AB41" s="11" t="s">
        <v>175</v>
      </c>
      <c r="AC41" s="12" t="s">
        <v>176</v>
      </c>
      <c r="AD41" s="11" t="s">
        <v>44</v>
      </c>
      <c r="AE41" s="12" t="s">
        <v>45</v>
      </c>
      <c r="AF41" s="14">
        <f t="shared" si="0"/>
        <v>0.17891799999999999</v>
      </c>
      <c r="AG41" s="11" t="s">
        <v>85</v>
      </c>
    </row>
    <row r="42" spans="1:33" x14ac:dyDescent="0.2">
      <c r="A42" s="8">
        <v>7263</v>
      </c>
      <c r="B42" s="9" t="s">
        <v>177</v>
      </c>
      <c r="C42" s="10">
        <v>43420</v>
      </c>
      <c r="D42" s="11">
        <v>157</v>
      </c>
      <c r="E42" s="12" t="s">
        <v>34</v>
      </c>
      <c r="F42" s="12" t="s">
        <v>35</v>
      </c>
      <c r="G42" s="12" t="s">
        <v>36</v>
      </c>
      <c r="H42" s="12" t="s">
        <v>37</v>
      </c>
      <c r="I42" s="11" t="s">
        <v>178</v>
      </c>
      <c r="J42" s="12" t="s">
        <v>179</v>
      </c>
      <c r="K42" s="13" t="s">
        <v>74</v>
      </c>
      <c r="L42" s="11" t="str">
        <f>"000106"</f>
        <v>000106</v>
      </c>
      <c r="M42" s="10">
        <v>42818</v>
      </c>
      <c r="N42" s="11" t="str">
        <f>"000040"</f>
        <v>000040</v>
      </c>
      <c r="O42" s="10">
        <v>42885</v>
      </c>
      <c r="P42" s="11" t="str">
        <f>"000063"</f>
        <v>000063</v>
      </c>
      <c r="Q42" s="10">
        <v>42885</v>
      </c>
      <c r="R42" s="11">
        <v>17</v>
      </c>
      <c r="S42" s="11" t="str">
        <f>"007277"</f>
        <v>007277</v>
      </c>
      <c r="T42" s="10">
        <v>43407</v>
      </c>
      <c r="U42" s="14">
        <v>5.3680000000000003</v>
      </c>
      <c r="V42" s="14">
        <v>0.64953000000000005</v>
      </c>
      <c r="W42" s="14">
        <v>4.7184699999999999</v>
      </c>
      <c r="X42" s="11">
        <v>266</v>
      </c>
      <c r="Y42" s="10">
        <v>43420</v>
      </c>
      <c r="Z42" s="11">
        <v>9845157138</v>
      </c>
      <c r="AA42" s="12" t="s">
        <v>150</v>
      </c>
      <c r="AB42" s="11" t="s">
        <v>70</v>
      </c>
      <c r="AC42" s="12" t="s">
        <v>71</v>
      </c>
      <c r="AD42" s="11" t="s">
        <v>44</v>
      </c>
      <c r="AE42" s="12" t="s">
        <v>45</v>
      </c>
      <c r="AF42" s="14">
        <f t="shared" si="0"/>
        <v>5.3680000000000005E-2</v>
      </c>
      <c r="AG42" s="11" t="s">
        <v>46</v>
      </c>
    </row>
    <row r="43" spans="1:33" x14ac:dyDescent="0.2">
      <c r="A43" s="8">
        <v>7582</v>
      </c>
      <c r="B43" s="9" t="s">
        <v>180</v>
      </c>
      <c r="C43" s="10">
        <v>43437</v>
      </c>
      <c r="D43" s="11">
        <v>157</v>
      </c>
      <c r="E43" s="12" t="s">
        <v>34</v>
      </c>
      <c r="F43" s="12" t="s">
        <v>35</v>
      </c>
      <c r="G43" s="12" t="s">
        <v>36</v>
      </c>
      <c r="H43" s="12" t="s">
        <v>37</v>
      </c>
      <c r="I43" s="11" t="s">
        <v>181</v>
      </c>
      <c r="J43" s="12" t="s">
        <v>182</v>
      </c>
      <c r="K43" s="13" t="s">
        <v>40</v>
      </c>
      <c r="L43" s="11" t="str">
        <f>"00086a"</f>
        <v>00086a</v>
      </c>
      <c r="M43" s="10">
        <v>41899</v>
      </c>
      <c r="N43" s="11" t="str">
        <f>"000021"</f>
        <v>000021</v>
      </c>
      <c r="O43" s="10">
        <v>42854</v>
      </c>
      <c r="P43" s="11" t="str">
        <f>"000016"</f>
        <v>000016</v>
      </c>
      <c r="Q43" s="10">
        <v>42853</v>
      </c>
      <c r="R43" s="11">
        <v>14</v>
      </c>
      <c r="S43" s="11" t="str">
        <f>"007469"</f>
        <v>007469</v>
      </c>
      <c r="T43" s="10">
        <v>43421</v>
      </c>
      <c r="U43" s="14">
        <v>19.97344</v>
      </c>
      <c r="V43" s="14">
        <v>2.9661599999999999</v>
      </c>
      <c r="W43" s="14">
        <v>17.007280000000002</v>
      </c>
      <c r="X43" s="11">
        <v>279</v>
      </c>
      <c r="Y43" s="10">
        <v>43437</v>
      </c>
      <c r="Z43" s="11">
        <v>9538481111</v>
      </c>
      <c r="AA43" s="12" t="s">
        <v>164</v>
      </c>
      <c r="AB43" s="11" t="s">
        <v>58</v>
      </c>
      <c r="AC43" s="12" t="s">
        <v>59</v>
      </c>
      <c r="AD43" s="11" t="s">
        <v>44</v>
      </c>
      <c r="AE43" s="12" t="s">
        <v>45</v>
      </c>
      <c r="AF43" s="14">
        <f t="shared" si="0"/>
        <v>0.19973440000000001</v>
      </c>
      <c r="AG43" s="11" t="s">
        <v>46</v>
      </c>
    </row>
    <row r="44" spans="1:33" x14ac:dyDescent="0.2">
      <c r="A44" s="8">
        <v>7641</v>
      </c>
      <c r="B44" s="9" t="s">
        <v>180</v>
      </c>
      <c r="C44" s="10">
        <v>43438</v>
      </c>
      <c r="D44" s="11">
        <v>157</v>
      </c>
      <c r="E44" s="12" t="s">
        <v>34</v>
      </c>
      <c r="F44" s="12" t="s">
        <v>35</v>
      </c>
      <c r="G44" s="12" t="s">
        <v>36</v>
      </c>
      <c r="H44" s="12" t="s">
        <v>37</v>
      </c>
      <c r="I44" s="11" t="s">
        <v>183</v>
      </c>
      <c r="J44" s="12" t="s">
        <v>184</v>
      </c>
      <c r="K44" s="13" t="s">
        <v>74</v>
      </c>
      <c r="L44" s="11" t="str">
        <f>"000043"</f>
        <v>000043</v>
      </c>
      <c r="M44" s="10">
        <v>43314</v>
      </c>
      <c r="N44" s="11" t="str">
        <f>"000074"</f>
        <v>000074</v>
      </c>
      <c r="O44" s="10">
        <v>43346</v>
      </c>
      <c r="P44" s="11" t="str">
        <f>"000136"</f>
        <v>000136</v>
      </c>
      <c r="Q44" s="10">
        <v>43346</v>
      </c>
      <c r="R44" s="11">
        <v>16</v>
      </c>
      <c r="S44" s="11" t="str">
        <f>"007648"</f>
        <v>007648</v>
      </c>
      <c r="T44" s="10">
        <v>43433</v>
      </c>
      <c r="U44" s="14">
        <v>7.7401799999999996</v>
      </c>
      <c r="V44" s="14">
        <v>0.89785000000000004</v>
      </c>
      <c r="W44" s="14">
        <v>6.8423299999999996</v>
      </c>
      <c r="X44" s="11">
        <v>285</v>
      </c>
      <c r="Y44" s="10">
        <v>43438</v>
      </c>
      <c r="Z44" s="11">
        <v>9972484999</v>
      </c>
      <c r="AA44" s="12" t="s">
        <v>185</v>
      </c>
      <c r="AB44" s="11" t="s">
        <v>170</v>
      </c>
      <c r="AC44" s="12" t="s">
        <v>171</v>
      </c>
      <c r="AD44" s="11" t="s">
        <v>44</v>
      </c>
      <c r="AE44" s="12" t="s">
        <v>45</v>
      </c>
      <c r="AF44" s="14">
        <f t="shared" si="0"/>
        <v>7.7401799999999993E-2</v>
      </c>
      <c r="AG44" s="11" t="s">
        <v>85</v>
      </c>
    </row>
    <row r="45" spans="1:33" x14ac:dyDescent="0.2">
      <c r="A45" s="8">
        <v>7886</v>
      </c>
      <c r="B45" s="9" t="s">
        <v>180</v>
      </c>
      <c r="C45" s="10">
        <v>43453</v>
      </c>
      <c r="D45" s="11">
        <v>157</v>
      </c>
      <c r="E45" s="12" t="s">
        <v>34</v>
      </c>
      <c r="F45" s="12" t="s">
        <v>35</v>
      </c>
      <c r="G45" s="12" t="s">
        <v>36</v>
      </c>
      <c r="H45" s="12" t="s">
        <v>37</v>
      </c>
      <c r="I45" s="11" t="s">
        <v>186</v>
      </c>
      <c r="J45" s="12" t="s">
        <v>187</v>
      </c>
      <c r="K45" s="13" t="s">
        <v>56</v>
      </c>
      <c r="L45" s="11" t="str">
        <f>"000027"</f>
        <v>000027</v>
      </c>
      <c r="M45" s="10">
        <v>43304</v>
      </c>
      <c r="N45" s="11" t="str">
        <f>"000083"</f>
        <v>000083</v>
      </c>
      <c r="O45" s="10">
        <v>43349</v>
      </c>
      <c r="P45" s="11" t="str">
        <f>"000142"</f>
        <v>000142</v>
      </c>
      <c r="Q45" s="10">
        <v>43354</v>
      </c>
      <c r="R45" s="11">
        <v>18</v>
      </c>
      <c r="S45" s="11" t="str">
        <f>"007888"</f>
        <v>007888</v>
      </c>
      <c r="T45" s="10">
        <v>43445</v>
      </c>
      <c r="U45" s="14">
        <v>19.9953</v>
      </c>
      <c r="V45" s="14">
        <v>2.07951</v>
      </c>
      <c r="W45" s="14">
        <v>17.915790000000001</v>
      </c>
      <c r="X45" s="11">
        <v>297</v>
      </c>
      <c r="Y45" s="10">
        <v>43453</v>
      </c>
      <c r="Z45" s="11">
        <v>9900310919</v>
      </c>
      <c r="AA45" s="12" t="s">
        <v>169</v>
      </c>
      <c r="AB45" s="11" t="s">
        <v>170</v>
      </c>
      <c r="AC45" s="12" t="s">
        <v>171</v>
      </c>
      <c r="AD45" s="11" t="s">
        <v>44</v>
      </c>
      <c r="AE45" s="12" t="s">
        <v>45</v>
      </c>
      <c r="AF45" s="14">
        <f t="shared" si="0"/>
        <v>0.19995299999999999</v>
      </c>
      <c r="AG45" s="11" t="s">
        <v>85</v>
      </c>
    </row>
    <row r="46" spans="1:33" x14ac:dyDescent="0.2">
      <c r="A46" s="8">
        <v>7887</v>
      </c>
      <c r="B46" s="9" t="s">
        <v>180</v>
      </c>
      <c r="C46" s="10">
        <v>43453</v>
      </c>
      <c r="D46" s="11">
        <v>157</v>
      </c>
      <c r="E46" s="12" t="s">
        <v>34</v>
      </c>
      <c r="F46" s="12" t="s">
        <v>35</v>
      </c>
      <c r="G46" s="12" t="s">
        <v>36</v>
      </c>
      <c r="H46" s="12" t="s">
        <v>37</v>
      </c>
      <c r="I46" s="11" t="s">
        <v>188</v>
      </c>
      <c r="J46" s="12" t="s">
        <v>189</v>
      </c>
      <c r="K46" s="13" t="s">
        <v>40</v>
      </c>
      <c r="L46" s="11" t="str">
        <f>"000028"</f>
        <v>000028</v>
      </c>
      <c r="M46" s="10">
        <v>43304</v>
      </c>
      <c r="N46" s="11" t="str">
        <f>"000081"</f>
        <v>000081</v>
      </c>
      <c r="O46" s="10">
        <v>43349</v>
      </c>
      <c r="P46" s="11" t="str">
        <f>"000144"</f>
        <v>000144</v>
      </c>
      <c r="Q46" s="10">
        <v>43354</v>
      </c>
      <c r="R46" s="11">
        <v>18</v>
      </c>
      <c r="S46" s="11" t="str">
        <f>"007890"</f>
        <v>007890</v>
      </c>
      <c r="T46" s="10">
        <v>43445</v>
      </c>
      <c r="U46" s="14">
        <v>19.479800000000001</v>
      </c>
      <c r="V46" s="14">
        <v>2.0259100000000001</v>
      </c>
      <c r="W46" s="14">
        <v>17.453890000000001</v>
      </c>
      <c r="X46" s="11">
        <v>297</v>
      </c>
      <c r="Y46" s="10">
        <v>43453</v>
      </c>
      <c r="Z46" s="11">
        <v>9900310919</v>
      </c>
      <c r="AA46" s="12" t="s">
        <v>164</v>
      </c>
      <c r="AB46" s="11" t="s">
        <v>170</v>
      </c>
      <c r="AC46" s="12" t="s">
        <v>171</v>
      </c>
      <c r="AD46" s="11" t="s">
        <v>44</v>
      </c>
      <c r="AE46" s="12" t="s">
        <v>45</v>
      </c>
      <c r="AF46" s="14">
        <f t="shared" si="0"/>
        <v>0.194798</v>
      </c>
      <c r="AG46" s="11" t="s">
        <v>85</v>
      </c>
    </row>
    <row r="47" spans="1:33" x14ac:dyDescent="0.2">
      <c r="A47" s="8">
        <v>7888</v>
      </c>
      <c r="B47" s="9" t="s">
        <v>180</v>
      </c>
      <c r="C47" s="10">
        <v>43453</v>
      </c>
      <c r="D47" s="11">
        <v>157</v>
      </c>
      <c r="E47" s="12" t="s">
        <v>34</v>
      </c>
      <c r="F47" s="12" t="s">
        <v>35</v>
      </c>
      <c r="G47" s="12" t="s">
        <v>36</v>
      </c>
      <c r="H47" s="12" t="s">
        <v>37</v>
      </c>
      <c r="I47" s="11" t="s">
        <v>190</v>
      </c>
      <c r="J47" s="12" t="s">
        <v>191</v>
      </c>
      <c r="K47" s="13" t="s">
        <v>40</v>
      </c>
      <c r="L47" s="11" t="str">
        <f>"000026"</f>
        <v>000026</v>
      </c>
      <c r="M47" s="10">
        <v>43304</v>
      </c>
      <c r="N47" s="11" t="str">
        <f>"000082"</f>
        <v>000082</v>
      </c>
      <c r="O47" s="10">
        <v>43349</v>
      </c>
      <c r="P47" s="11" t="str">
        <f>"000145"</f>
        <v>000145</v>
      </c>
      <c r="Q47" s="10">
        <v>43354</v>
      </c>
      <c r="R47" s="11">
        <v>18</v>
      </c>
      <c r="S47" s="11" t="str">
        <f>"007893"</f>
        <v>007893</v>
      </c>
      <c r="T47" s="10">
        <v>43445</v>
      </c>
      <c r="U47" s="14">
        <v>19.959099999999999</v>
      </c>
      <c r="V47" s="14">
        <v>2.0757500000000002</v>
      </c>
      <c r="W47" s="14">
        <v>17.88335</v>
      </c>
      <c r="X47" s="11">
        <v>297</v>
      </c>
      <c r="Y47" s="10">
        <v>43453</v>
      </c>
      <c r="Z47" s="11">
        <v>9900310919</v>
      </c>
      <c r="AA47" s="12" t="s">
        <v>169</v>
      </c>
      <c r="AB47" s="11" t="s">
        <v>170</v>
      </c>
      <c r="AC47" s="12" t="s">
        <v>171</v>
      </c>
      <c r="AD47" s="11" t="s">
        <v>44</v>
      </c>
      <c r="AE47" s="12" t="s">
        <v>45</v>
      </c>
      <c r="AF47" s="14">
        <f t="shared" si="0"/>
        <v>0.19959099999999999</v>
      </c>
      <c r="AG47" s="11" t="s">
        <v>85</v>
      </c>
    </row>
    <row r="48" spans="1:33" x14ac:dyDescent="0.2">
      <c r="A48" s="8">
        <v>7926</v>
      </c>
      <c r="B48" s="9" t="s">
        <v>180</v>
      </c>
      <c r="C48" s="10">
        <v>43454</v>
      </c>
      <c r="D48" s="11">
        <v>157</v>
      </c>
      <c r="E48" s="12" t="s">
        <v>34</v>
      </c>
      <c r="F48" s="12" t="s">
        <v>35</v>
      </c>
      <c r="G48" s="12" t="s">
        <v>36</v>
      </c>
      <c r="H48" s="12" t="s">
        <v>37</v>
      </c>
      <c r="I48" s="11" t="s">
        <v>192</v>
      </c>
      <c r="J48" s="12" t="s">
        <v>193</v>
      </c>
      <c r="K48" s="13" t="s">
        <v>99</v>
      </c>
      <c r="L48" s="11" t="str">
        <f>"000120"</f>
        <v>000120</v>
      </c>
      <c r="M48" s="10">
        <v>43136</v>
      </c>
      <c r="N48" s="11" t="str">
        <f>"000116"</f>
        <v>000116</v>
      </c>
      <c r="O48" s="10">
        <v>43179</v>
      </c>
      <c r="P48" s="11" t="str">
        <f>"000190"</f>
        <v>000190</v>
      </c>
      <c r="Q48" s="10">
        <v>43180</v>
      </c>
      <c r="R48" s="11">
        <v>18</v>
      </c>
      <c r="S48" s="11" t="str">
        <f>"007941"</f>
        <v>007941</v>
      </c>
      <c r="T48" s="10">
        <v>43447</v>
      </c>
      <c r="U48" s="14">
        <v>14.992000000000001</v>
      </c>
      <c r="V48" s="14">
        <v>1.67411</v>
      </c>
      <c r="W48" s="14">
        <v>13.31789</v>
      </c>
      <c r="X48" s="11">
        <v>298</v>
      </c>
      <c r="Y48" s="10">
        <v>43454</v>
      </c>
      <c r="Z48" s="11">
        <v>9845930585</v>
      </c>
      <c r="AA48" s="12" t="s">
        <v>57</v>
      </c>
      <c r="AB48" s="11" t="s">
        <v>133</v>
      </c>
      <c r="AC48" s="12" t="s">
        <v>134</v>
      </c>
      <c r="AD48" s="11" t="s">
        <v>44</v>
      </c>
      <c r="AE48" s="12" t="s">
        <v>45</v>
      </c>
      <c r="AF48" s="14">
        <f t="shared" si="0"/>
        <v>0.14992</v>
      </c>
      <c r="AG48" s="11" t="s">
        <v>46</v>
      </c>
    </row>
    <row r="49" spans="1:33" x14ac:dyDescent="0.2">
      <c r="A49" s="8">
        <v>8114</v>
      </c>
      <c r="B49" s="9" t="s">
        <v>194</v>
      </c>
      <c r="C49" s="10">
        <v>43466</v>
      </c>
      <c r="D49" s="11">
        <v>157</v>
      </c>
      <c r="E49" s="12" t="s">
        <v>34</v>
      </c>
      <c r="F49" s="12" t="s">
        <v>35</v>
      </c>
      <c r="G49" s="12" t="s">
        <v>36</v>
      </c>
      <c r="H49" s="12" t="s">
        <v>37</v>
      </c>
      <c r="I49" s="11" t="s">
        <v>38</v>
      </c>
      <c r="J49" s="12" t="s">
        <v>39</v>
      </c>
      <c r="K49" s="13" t="s">
        <v>40</v>
      </c>
      <c r="L49" s="11" t="str">
        <f>"000005"</f>
        <v>000005</v>
      </c>
      <c r="M49" s="10">
        <v>42830</v>
      </c>
      <c r="N49" s="11" t="str">
        <f>"000002"</f>
        <v>000002</v>
      </c>
      <c r="O49" s="10">
        <v>42830</v>
      </c>
      <c r="P49" s="11" t="str">
        <f>"000002"</f>
        <v>000002</v>
      </c>
      <c r="Q49" s="10">
        <v>42830</v>
      </c>
      <c r="R49" s="11"/>
      <c r="S49" s="11" t="str">
        <f>"002110"</f>
        <v>002110</v>
      </c>
      <c r="T49" s="10">
        <v>42878</v>
      </c>
      <c r="U49" s="14">
        <v>1.6379999999999999</v>
      </c>
      <c r="V49" s="14">
        <v>0.1638</v>
      </c>
      <c r="W49" s="14">
        <v>1.4742</v>
      </c>
      <c r="X49" s="11">
        <v>308</v>
      </c>
      <c r="Y49" s="10">
        <v>43466</v>
      </c>
      <c r="Z49" s="11">
        <v>9886999316</v>
      </c>
      <c r="AA49" s="12" t="s">
        <v>195</v>
      </c>
      <c r="AB49" s="11" t="s">
        <v>42</v>
      </c>
      <c r="AC49" s="12" t="s">
        <v>43</v>
      </c>
      <c r="AD49" s="11" t="s">
        <v>44</v>
      </c>
      <c r="AE49" s="12" t="s">
        <v>45</v>
      </c>
      <c r="AF49" s="14">
        <f t="shared" si="0"/>
        <v>1.6379999999999999E-2</v>
      </c>
      <c r="AG49" s="11" t="s">
        <v>46</v>
      </c>
    </row>
    <row r="50" spans="1:33" x14ac:dyDescent="0.2">
      <c r="A50" s="8">
        <v>8920</v>
      </c>
      <c r="B50" s="9" t="s">
        <v>196</v>
      </c>
      <c r="C50" s="10">
        <v>43497</v>
      </c>
      <c r="D50" s="11">
        <v>157</v>
      </c>
      <c r="E50" s="12" t="s">
        <v>34</v>
      </c>
      <c r="F50" s="12" t="s">
        <v>35</v>
      </c>
      <c r="G50" s="12" t="s">
        <v>36</v>
      </c>
      <c r="H50" s="12" t="s">
        <v>37</v>
      </c>
      <c r="I50" s="11" t="s">
        <v>197</v>
      </c>
      <c r="J50" s="12" t="s">
        <v>198</v>
      </c>
      <c r="K50" s="13" t="s">
        <v>99</v>
      </c>
      <c r="L50" s="11" t="str">
        <f>"000033"</f>
        <v>000033</v>
      </c>
      <c r="M50" s="10">
        <v>43311</v>
      </c>
      <c r="N50" s="11" t="str">
        <f>"000085"</f>
        <v>000085</v>
      </c>
      <c r="O50" s="10">
        <v>43357</v>
      </c>
      <c r="P50" s="11" t="str">
        <f>"000147"</f>
        <v>000147</v>
      </c>
      <c r="Q50" s="10">
        <v>43357</v>
      </c>
      <c r="R50" s="11"/>
      <c r="S50" s="11" t="str">
        <f>"008761"</f>
        <v>008761</v>
      </c>
      <c r="T50" s="10">
        <v>43482</v>
      </c>
      <c r="U50" s="14">
        <v>14.8185</v>
      </c>
      <c r="V50" s="14">
        <v>1.79301</v>
      </c>
      <c r="W50" s="14">
        <v>13.02549</v>
      </c>
      <c r="X50" s="11">
        <v>337</v>
      </c>
      <c r="Y50" s="10">
        <v>43497</v>
      </c>
      <c r="Z50" s="11">
        <v>9900310919</v>
      </c>
      <c r="AA50" s="12" t="s">
        <v>169</v>
      </c>
      <c r="AB50" s="11" t="s">
        <v>170</v>
      </c>
      <c r="AC50" s="12" t="s">
        <v>171</v>
      </c>
      <c r="AD50" s="11" t="s">
        <v>44</v>
      </c>
      <c r="AE50" s="12" t="s">
        <v>45</v>
      </c>
      <c r="AF50" s="14">
        <f t="shared" si="0"/>
        <v>0.14818500000000001</v>
      </c>
      <c r="AG50" s="11" t="s">
        <v>85</v>
      </c>
    </row>
    <row r="51" spans="1:33" x14ac:dyDescent="0.2">
      <c r="A51" s="8">
        <v>8921</v>
      </c>
      <c r="B51" s="9" t="s">
        <v>196</v>
      </c>
      <c r="C51" s="10">
        <v>43497</v>
      </c>
      <c r="D51" s="11">
        <v>157</v>
      </c>
      <c r="E51" s="12" t="s">
        <v>34</v>
      </c>
      <c r="F51" s="12" t="s">
        <v>35</v>
      </c>
      <c r="G51" s="12" t="s">
        <v>36</v>
      </c>
      <c r="H51" s="12" t="s">
        <v>37</v>
      </c>
      <c r="I51" s="11" t="s">
        <v>199</v>
      </c>
      <c r="J51" s="12" t="s">
        <v>200</v>
      </c>
      <c r="K51" s="13" t="s">
        <v>99</v>
      </c>
      <c r="L51" s="11" t="str">
        <f>"000034"</f>
        <v>000034</v>
      </c>
      <c r="M51" s="10">
        <v>43311</v>
      </c>
      <c r="N51" s="11" t="str">
        <f>"000086"</f>
        <v>000086</v>
      </c>
      <c r="O51" s="10">
        <v>43357</v>
      </c>
      <c r="P51" s="11" t="str">
        <f>"000146"</f>
        <v>000146</v>
      </c>
      <c r="Q51" s="10">
        <v>43357</v>
      </c>
      <c r="R51" s="11"/>
      <c r="S51" s="11" t="str">
        <f>"008762"</f>
        <v>008762</v>
      </c>
      <c r="T51" s="10">
        <v>43482</v>
      </c>
      <c r="U51" s="14">
        <v>14.819599999999999</v>
      </c>
      <c r="V51" s="14">
        <v>1.7931900000000001</v>
      </c>
      <c r="W51" s="14">
        <v>13.02641</v>
      </c>
      <c r="X51" s="11">
        <v>337</v>
      </c>
      <c r="Y51" s="10">
        <v>43497</v>
      </c>
      <c r="Z51" s="11">
        <v>9900310919</v>
      </c>
      <c r="AA51" s="12" t="s">
        <v>169</v>
      </c>
      <c r="AB51" s="11" t="s">
        <v>170</v>
      </c>
      <c r="AC51" s="12" t="s">
        <v>171</v>
      </c>
      <c r="AD51" s="11" t="s">
        <v>44</v>
      </c>
      <c r="AE51" s="12" t="s">
        <v>45</v>
      </c>
      <c r="AF51" s="14">
        <f t="shared" si="0"/>
        <v>0.14819599999999999</v>
      </c>
      <c r="AG51" s="11" t="s">
        <v>85</v>
      </c>
    </row>
    <row r="52" spans="1:33" x14ac:dyDescent="0.2">
      <c r="A52" s="8">
        <v>9120</v>
      </c>
      <c r="B52" s="9" t="s">
        <v>196</v>
      </c>
      <c r="C52" s="10">
        <v>43508</v>
      </c>
      <c r="D52" s="11">
        <v>157</v>
      </c>
      <c r="E52" s="12" t="s">
        <v>34</v>
      </c>
      <c r="F52" s="12" t="s">
        <v>35</v>
      </c>
      <c r="G52" s="12" t="s">
        <v>36</v>
      </c>
      <c r="H52" s="12" t="s">
        <v>37</v>
      </c>
      <c r="I52" s="11" t="s">
        <v>201</v>
      </c>
      <c r="J52" s="12" t="s">
        <v>202</v>
      </c>
      <c r="K52" s="13" t="s">
        <v>74</v>
      </c>
      <c r="L52" s="11" t="str">
        <f>"00024a"</f>
        <v>00024a</v>
      </c>
      <c r="M52" s="10">
        <v>42877</v>
      </c>
      <c r="N52" s="11" t="str">
        <f>""</f>
        <v/>
      </c>
      <c r="O52" s="10"/>
      <c r="P52" s="11" t="str">
        <f>""</f>
        <v/>
      </c>
      <c r="Q52" s="10"/>
      <c r="R52" s="11"/>
      <c r="S52" s="11" t="str">
        <f>""</f>
        <v/>
      </c>
      <c r="T52" s="10"/>
      <c r="U52" s="14">
        <v>11.244429999999999</v>
      </c>
      <c r="V52" s="14">
        <v>1.5854600000000001</v>
      </c>
      <c r="W52" s="14">
        <v>9.6589700000000001</v>
      </c>
      <c r="X52" s="11">
        <v>349</v>
      </c>
      <c r="Y52" s="10">
        <v>43508</v>
      </c>
      <c r="Z52" s="11">
        <v>9341254046</v>
      </c>
      <c r="AA52" s="12" t="s">
        <v>203</v>
      </c>
      <c r="AB52" s="11" t="s">
        <v>70</v>
      </c>
      <c r="AC52" s="12" t="s">
        <v>71</v>
      </c>
      <c r="AD52" s="11" t="s">
        <v>44</v>
      </c>
      <c r="AE52" s="12" t="s">
        <v>45</v>
      </c>
      <c r="AF52" s="14">
        <f t="shared" si="0"/>
        <v>0.1124443</v>
      </c>
      <c r="AG52" s="11" t="s">
        <v>46</v>
      </c>
    </row>
    <row r="53" spans="1:33" x14ac:dyDescent="0.2">
      <c r="A53" s="8">
        <v>9121</v>
      </c>
      <c r="B53" s="9" t="s">
        <v>196</v>
      </c>
      <c r="C53" s="10">
        <v>43508</v>
      </c>
      <c r="D53" s="11">
        <v>157</v>
      </c>
      <c r="E53" s="12" t="s">
        <v>34</v>
      </c>
      <c r="F53" s="12" t="s">
        <v>35</v>
      </c>
      <c r="G53" s="12" t="s">
        <v>36</v>
      </c>
      <c r="H53" s="12" t="s">
        <v>37</v>
      </c>
      <c r="I53" s="11" t="s">
        <v>204</v>
      </c>
      <c r="J53" s="12" t="s">
        <v>205</v>
      </c>
      <c r="K53" s="13" t="s">
        <v>40</v>
      </c>
      <c r="L53" s="11" t="str">
        <f>"000035"</f>
        <v>000035</v>
      </c>
      <c r="M53" s="10">
        <v>42881</v>
      </c>
      <c r="N53" s="11" t="str">
        <f>""</f>
        <v/>
      </c>
      <c r="O53" s="10"/>
      <c r="P53" s="11" t="str">
        <f>""</f>
        <v/>
      </c>
      <c r="Q53" s="10"/>
      <c r="R53" s="11"/>
      <c r="S53" s="11" t="str">
        <f>""</f>
        <v/>
      </c>
      <c r="T53" s="10"/>
      <c r="U53" s="14">
        <v>9.4252199999999995</v>
      </c>
      <c r="V53" s="14">
        <v>1.21584</v>
      </c>
      <c r="W53" s="14">
        <v>8.2093799999999995</v>
      </c>
      <c r="X53" s="11">
        <v>349</v>
      </c>
      <c r="Y53" s="10">
        <v>43508</v>
      </c>
      <c r="Z53" s="11">
        <v>9945370292</v>
      </c>
      <c r="AA53" s="12" t="s">
        <v>125</v>
      </c>
      <c r="AB53" s="11" t="s">
        <v>70</v>
      </c>
      <c r="AC53" s="12" t="s">
        <v>71</v>
      </c>
      <c r="AD53" s="11" t="s">
        <v>44</v>
      </c>
      <c r="AE53" s="12" t="s">
        <v>45</v>
      </c>
      <c r="AF53" s="14">
        <f t="shared" si="0"/>
        <v>9.4252199999999994E-2</v>
      </c>
      <c r="AG53" s="11" t="s">
        <v>46</v>
      </c>
    </row>
    <row r="54" spans="1:33" x14ac:dyDescent="0.2">
      <c r="A54" s="8">
        <v>9511</v>
      </c>
      <c r="B54" s="9" t="s">
        <v>206</v>
      </c>
      <c r="C54" s="10">
        <v>43531</v>
      </c>
      <c r="D54" s="11">
        <v>157</v>
      </c>
      <c r="E54" s="12" t="s">
        <v>34</v>
      </c>
      <c r="F54" s="12" t="s">
        <v>35</v>
      </c>
      <c r="G54" s="12" t="s">
        <v>36</v>
      </c>
      <c r="H54" s="12" t="s">
        <v>37</v>
      </c>
      <c r="I54" s="11" t="s">
        <v>207</v>
      </c>
      <c r="J54" s="12" t="s">
        <v>208</v>
      </c>
      <c r="K54" s="13" t="s">
        <v>93</v>
      </c>
      <c r="L54" s="11" t="str">
        <f>"000089"</f>
        <v>000089</v>
      </c>
      <c r="M54" s="10">
        <v>43455</v>
      </c>
      <c r="N54" s="11" t="str">
        <f>"000114"</f>
        <v>000114</v>
      </c>
      <c r="O54" s="10">
        <v>43503</v>
      </c>
      <c r="P54" s="11" t="str">
        <f>"000196"</f>
        <v>000196</v>
      </c>
      <c r="Q54" s="10">
        <v>43503</v>
      </c>
      <c r="R54" s="11"/>
      <c r="S54" s="11" t="str">
        <f>"009623"</f>
        <v>009623</v>
      </c>
      <c r="T54" s="10">
        <v>43529</v>
      </c>
      <c r="U54" s="14">
        <v>7.28125</v>
      </c>
      <c r="V54" s="14">
        <v>0.71338999999999997</v>
      </c>
      <c r="W54" s="14">
        <v>6.5678599999999996</v>
      </c>
      <c r="X54" s="11">
        <v>369</v>
      </c>
      <c r="Y54" s="10">
        <v>43531</v>
      </c>
      <c r="Z54" s="11">
        <v>9036567996</v>
      </c>
      <c r="AA54" s="12" t="s">
        <v>209</v>
      </c>
      <c r="AB54" s="11" t="s">
        <v>83</v>
      </c>
      <c r="AC54" s="12" t="s">
        <v>84</v>
      </c>
      <c r="AD54" s="11" t="s">
        <v>44</v>
      </c>
      <c r="AE54" s="12" t="s">
        <v>45</v>
      </c>
      <c r="AF54" s="14">
        <f t="shared" si="0"/>
        <v>7.2812500000000002E-2</v>
      </c>
      <c r="AG54" s="11" t="s">
        <v>85</v>
      </c>
    </row>
    <row r="55" spans="1:33" x14ac:dyDescent="0.2">
      <c r="A55" s="8">
        <v>9661</v>
      </c>
      <c r="B55" s="9" t="s">
        <v>206</v>
      </c>
      <c r="C55" s="10">
        <v>43539</v>
      </c>
      <c r="D55" s="11">
        <v>157</v>
      </c>
      <c r="E55" s="12" t="s">
        <v>34</v>
      </c>
      <c r="F55" s="12" t="s">
        <v>35</v>
      </c>
      <c r="G55" s="12" t="s">
        <v>36</v>
      </c>
      <c r="H55" s="12" t="s">
        <v>37</v>
      </c>
      <c r="I55" s="11" t="s">
        <v>210</v>
      </c>
      <c r="J55" s="12" t="s">
        <v>211</v>
      </c>
      <c r="K55" s="13" t="s">
        <v>74</v>
      </c>
      <c r="L55" s="11" t="str">
        <f>"000112"</f>
        <v>000112</v>
      </c>
      <c r="M55" s="10">
        <v>42818</v>
      </c>
      <c r="N55" s="11" t="str">
        <f>"000113"</f>
        <v>000113</v>
      </c>
      <c r="O55" s="10">
        <v>42915</v>
      </c>
      <c r="P55" s="11" t="str">
        <f>"000131"</f>
        <v>000131</v>
      </c>
      <c r="Q55" s="10">
        <v>42916</v>
      </c>
      <c r="R55" s="11"/>
      <c r="S55" s="11" t="str">
        <f>"009711"</f>
        <v>009711</v>
      </c>
      <c r="T55" s="10">
        <v>43538</v>
      </c>
      <c r="U55" s="14">
        <v>13.35</v>
      </c>
      <c r="V55" s="14">
        <v>1.75535</v>
      </c>
      <c r="W55" s="14">
        <v>11.59465</v>
      </c>
      <c r="X55" s="11">
        <v>376</v>
      </c>
      <c r="Y55" s="10">
        <v>43539</v>
      </c>
      <c r="Z55" s="11">
        <v>9845157138</v>
      </c>
      <c r="AA55" s="12" t="s">
        <v>212</v>
      </c>
      <c r="AB55" s="11" t="s">
        <v>70</v>
      </c>
      <c r="AC55" s="12" t="s">
        <v>71</v>
      </c>
      <c r="AD55" s="11" t="s">
        <v>44</v>
      </c>
      <c r="AE55" s="12" t="s">
        <v>45</v>
      </c>
      <c r="AF55" s="14">
        <f t="shared" si="0"/>
        <v>0.13350000000000001</v>
      </c>
      <c r="AG55" s="11" t="s">
        <v>46</v>
      </c>
    </row>
    <row r="56" spans="1:33" x14ac:dyDescent="0.2">
      <c r="A56" s="8">
        <v>9704</v>
      </c>
      <c r="B56" s="9" t="s">
        <v>206</v>
      </c>
      <c r="C56" s="10">
        <v>43539</v>
      </c>
      <c r="D56" s="11">
        <v>157</v>
      </c>
      <c r="E56" s="12" t="s">
        <v>34</v>
      </c>
      <c r="F56" s="12" t="s">
        <v>35</v>
      </c>
      <c r="G56" s="12" t="s">
        <v>36</v>
      </c>
      <c r="H56" s="12" t="s">
        <v>37</v>
      </c>
      <c r="I56" s="11" t="s">
        <v>213</v>
      </c>
      <c r="J56" s="12" t="s">
        <v>214</v>
      </c>
      <c r="K56" s="13" t="s">
        <v>40</v>
      </c>
      <c r="L56" s="11" t="str">
        <f>"00088a"</f>
        <v>00088a</v>
      </c>
      <c r="M56" s="10">
        <v>41899</v>
      </c>
      <c r="N56" s="11" t="str">
        <f>"000022"</f>
        <v>000022</v>
      </c>
      <c r="O56" s="10">
        <v>42854</v>
      </c>
      <c r="P56" s="11" t="str">
        <f>"000017"</f>
        <v>000017</v>
      </c>
      <c r="Q56" s="10">
        <v>42853</v>
      </c>
      <c r="R56" s="11"/>
      <c r="S56" s="11" t="str">
        <f>"009765"</f>
        <v>009765</v>
      </c>
      <c r="T56" s="10">
        <v>43538</v>
      </c>
      <c r="U56" s="14">
        <v>19.942150000000002</v>
      </c>
      <c r="V56" s="14">
        <v>2.9616699999999998</v>
      </c>
      <c r="W56" s="14">
        <v>16.98048</v>
      </c>
      <c r="X56" s="11">
        <v>376</v>
      </c>
      <c r="Y56" s="10">
        <v>43539</v>
      </c>
      <c r="Z56" s="11">
        <v>9538481111</v>
      </c>
      <c r="AA56" s="12" t="s">
        <v>164</v>
      </c>
      <c r="AB56" s="11" t="s">
        <v>58</v>
      </c>
      <c r="AC56" s="12" t="s">
        <v>59</v>
      </c>
      <c r="AD56" s="11" t="s">
        <v>44</v>
      </c>
      <c r="AE56" s="12" t="s">
        <v>45</v>
      </c>
      <c r="AF56" s="14">
        <f t="shared" si="0"/>
        <v>0.19942150000000003</v>
      </c>
      <c r="AG56" s="11" t="s">
        <v>46</v>
      </c>
    </row>
    <row r="57" spans="1:33" x14ac:dyDescent="0.2">
      <c r="A57" s="8">
        <v>9911</v>
      </c>
      <c r="B57" s="9" t="s">
        <v>206</v>
      </c>
      <c r="C57" s="10">
        <v>43552</v>
      </c>
      <c r="D57" s="11">
        <v>157</v>
      </c>
      <c r="E57" s="12" t="s">
        <v>34</v>
      </c>
      <c r="F57" s="12" t="s">
        <v>35</v>
      </c>
      <c r="G57" s="12" t="s">
        <v>36</v>
      </c>
      <c r="H57" s="12" t="s">
        <v>37</v>
      </c>
      <c r="I57" s="11" t="s">
        <v>215</v>
      </c>
      <c r="J57" s="12" t="s">
        <v>216</v>
      </c>
      <c r="K57" s="13" t="s">
        <v>74</v>
      </c>
      <c r="L57" s="11" t="str">
        <f>"000108"</f>
        <v>000108</v>
      </c>
      <c r="M57" s="10">
        <v>42803</v>
      </c>
      <c r="N57" s="11" t="str">
        <f>"000140"</f>
        <v>000140</v>
      </c>
      <c r="O57" s="10">
        <v>42915</v>
      </c>
      <c r="P57" s="11" t="str">
        <f>"000157"</f>
        <v>000157</v>
      </c>
      <c r="Q57" s="10">
        <v>42916</v>
      </c>
      <c r="R57" s="11"/>
      <c r="S57" s="11" t="str">
        <f>"009917"</f>
        <v>009917</v>
      </c>
      <c r="T57" s="10">
        <v>43549</v>
      </c>
      <c r="U57" s="14">
        <v>13.323</v>
      </c>
      <c r="V57" s="14">
        <v>1.7518100000000001</v>
      </c>
      <c r="W57" s="14">
        <v>11.57119</v>
      </c>
      <c r="X57" s="11">
        <v>388</v>
      </c>
      <c r="Y57" s="10">
        <v>43552</v>
      </c>
      <c r="Z57" s="11">
        <v>9845157138</v>
      </c>
      <c r="AA57" s="12" t="s">
        <v>212</v>
      </c>
      <c r="AB57" s="11" t="s">
        <v>70</v>
      </c>
      <c r="AC57" s="12" t="s">
        <v>71</v>
      </c>
      <c r="AD57" s="11" t="s">
        <v>44</v>
      </c>
      <c r="AE57" s="12" t="s">
        <v>45</v>
      </c>
      <c r="AF57" s="14">
        <f t="shared" si="0"/>
        <v>0.13323000000000002</v>
      </c>
      <c r="AG57" s="11" t="s">
        <v>46</v>
      </c>
    </row>
  </sheetData>
  <sortState ref="A2:AG12362">
    <sortCondition ref="D2:D12362"/>
    <sortCondition ref="C2:C12362"/>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1st Apr 2018 31st Mar 2019</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Manjunath HL</dc:creator>
  <cp:lastModifiedBy>Manjunath HL</cp:lastModifiedBy>
  <dcterms:created xsi:type="dcterms:W3CDTF">2019-03-05T06:25:51Z</dcterms:created>
  <dcterms:modified xsi:type="dcterms:W3CDTF">2019-06-14T08:37:15Z</dcterms:modified>
</cp:coreProperties>
</file>