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62" i="1" l="1"/>
  <c r="S62" i="1"/>
  <c r="P62" i="1"/>
  <c r="N62" i="1"/>
  <c r="L62" i="1"/>
  <c r="AF61" i="1"/>
  <c r="S61" i="1"/>
  <c r="P61" i="1"/>
  <c r="N61" i="1"/>
  <c r="L61" i="1"/>
  <c r="AF60" i="1"/>
  <c r="S60" i="1"/>
  <c r="P60" i="1"/>
  <c r="N60" i="1"/>
  <c r="L60" i="1"/>
  <c r="AF59" i="1"/>
  <c r="S59" i="1"/>
  <c r="P59" i="1"/>
  <c r="N59" i="1"/>
  <c r="L59" i="1"/>
  <c r="AF58" i="1"/>
  <c r="S58" i="1"/>
  <c r="P58" i="1"/>
  <c r="N58" i="1"/>
  <c r="L58" i="1"/>
  <c r="AF57" i="1"/>
  <c r="S57" i="1"/>
  <c r="P57" i="1"/>
  <c r="N57" i="1"/>
  <c r="L57" i="1"/>
  <c r="AF56" i="1"/>
  <c r="S56" i="1"/>
  <c r="P56" i="1"/>
  <c r="N56" i="1"/>
  <c r="L56" i="1"/>
  <c r="AF55" i="1"/>
  <c r="S55" i="1"/>
  <c r="P55" i="1"/>
  <c r="N55" i="1"/>
  <c r="L55" i="1"/>
  <c r="AF54" i="1"/>
  <c r="S54" i="1"/>
  <c r="P54" i="1"/>
  <c r="N54" i="1"/>
  <c r="L54" i="1"/>
  <c r="AF53" i="1"/>
  <c r="S53" i="1"/>
  <c r="P53" i="1"/>
  <c r="N53" i="1"/>
  <c r="L53" i="1"/>
  <c r="AF52" i="1"/>
  <c r="S52" i="1"/>
  <c r="P52" i="1"/>
  <c r="N52" i="1"/>
  <c r="L52" i="1"/>
  <c r="AF51" i="1"/>
  <c r="S51" i="1"/>
  <c r="P51" i="1"/>
  <c r="N51" i="1"/>
  <c r="L51" i="1"/>
  <c r="AF50" i="1"/>
  <c r="S50" i="1"/>
  <c r="P50" i="1"/>
  <c r="N50" i="1"/>
  <c r="L50" i="1"/>
  <c r="AF49" i="1"/>
  <c r="S49" i="1"/>
  <c r="P49" i="1"/>
  <c r="N49" i="1"/>
  <c r="L49" i="1"/>
  <c r="AF48" i="1"/>
  <c r="S48" i="1"/>
  <c r="P48" i="1"/>
  <c r="N48" i="1"/>
  <c r="L48" i="1"/>
  <c r="AF47" i="1"/>
  <c r="S47" i="1"/>
  <c r="P47" i="1"/>
  <c r="N47" i="1"/>
  <c r="L47" i="1"/>
  <c r="AF46" i="1"/>
  <c r="S46" i="1"/>
  <c r="P46" i="1"/>
  <c r="N46" i="1"/>
  <c r="L46" i="1"/>
  <c r="AF45" i="1"/>
  <c r="S45" i="1"/>
  <c r="P45" i="1"/>
  <c r="N45" i="1"/>
  <c r="L45" i="1"/>
  <c r="AF44" i="1"/>
  <c r="S44" i="1"/>
  <c r="P44" i="1"/>
  <c r="N44" i="1"/>
  <c r="L44" i="1"/>
  <c r="AF43" i="1"/>
  <c r="S43" i="1"/>
  <c r="P43" i="1"/>
  <c r="N43" i="1"/>
  <c r="L43" i="1"/>
  <c r="AF42" i="1"/>
  <c r="S42" i="1"/>
  <c r="P42" i="1"/>
  <c r="N42" i="1"/>
  <c r="L42" i="1"/>
  <c r="AF41" i="1"/>
  <c r="S41" i="1"/>
  <c r="P41" i="1"/>
  <c r="N41" i="1"/>
  <c r="L41" i="1"/>
  <c r="AF40" i="1"/>
  <c r="S40" i="1"/>
  <c r="P40" i="1"/>
  <c r="N40" i="1"/>
  <c r="L40" i="1"/>
  <c r="AF39" i="1"/>
  <c r="S39" i="1"/>
  <c r="P39" i="1"/>
  <c r="N39" i="1"/>
  <c r="L39" i="1"/>
  <c r="AF38" i="1"/>
  <c r="S38" i="1"/>
  <c r="P38" i="1"/>
  <c r="N38" i="1"/>
  <c r="L38" i="1"/>
  <c r="AF37" i="1"/>
  <c r="S37" i="1"/>
  <c r="P37" i="1"/>
  <c r="N37" i="1"/>
  <c r="L37" i="1"/>
  <c r="AF36" i="1"/>
  <c r="S36" i="1"/>
  <c r="P36" i="1"/>
  <c r="N36" i="1"/>
  <c r="L36" i="1"/>
  <c r="AF35" i="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S29" i="1"/>
  <c r="P29" i="1"/>
  <c r="N29" i="1"/>
  <c r="L29" i="1"/>
  <c r="S28" i="1"/>
  <c r="P28" i="1"/>
  <c r="N28" i="1"/>
  <c r="L28"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<sst xmlns="http://schemas.openxmlformats.org/spreadsheetml/2006/main" count="887" uniqueCount="224">
  <si>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</si>
  <si>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</si>
  <si>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</si>
  <si>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</si>
  <si>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</si>
  <si>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</si>
  <si>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</si>
  <si>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</si>
  <si>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</si>
  <si>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</si>
  <si>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</si>
  <si>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</si>
  <si>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</si>
  <si>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</si>
  <si>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</si>
  <si>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</si>
  <si>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</si>
  <si>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</si>
  <si>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</si>
  <si>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</si>
  <si>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</si>
  <si>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</si>
  <si>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</si>
  <si>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</si>
  <si>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</si>
  <si>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</si>
  <si>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</si>
  <si>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</si>
  <si>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</si>
  <si>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</si>
  <si>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</si>
  <si>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</si>
  <si>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</si>
  <si>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</si>
  <si>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Kengeri</t>
  </si>
  <si>
    <t>Raja Rajeswari Nagara</t>
  </si>
  <si>
    <t>159-17-000059</t>
  </si>
  <si>
    <t>Construction of 2 Tons capacity Organic Waste Convertor and improvements to surrounding areas in W N 159</t>
  </si>
  <si>
    <t>Other Ward Works</t>
  </si>
  <si>
    <t>M/s.KRIDL</t>
  </si>
  <si>
    <t>P3110</t>
  </si>
  <si>
    <t>14th Finance Commission Grant Works</t>
  </si>
  <si>
    <t>ddo012</t>
  </si>
  <si>
    <t xml:space="preserve"> Assistant Executive Engineer Kengeri Sub Division Rajarajeshwari Nagar Zone</t>
  </si>
  <si>
    <t>Pending</t>
  </si>
  <si>
    <t>159-16-000012</t>
  </si>
  <si>
    <t>Improvements to Roads and drain at Sacchidananda Nagar in Ward No 159 Kengeri</t>
  </si>
  <si>
    <t>Roads &amp; Drivablility</t>
  </si>
  <si>
    <t>Abivrudh K Gowda</t>
  </si>
  <si>
    <t>P1771</t>
  </si>
  <si>
    <t>Zone Works - POW Works</t>
  </si>
  <si>
    <t>May</t>
  </si>
  <si>
    <t>159-17-000002</t>
  </si>
  <si>
    <t>Providing Open Gym equipments in Kengeri Upanagara Shreya Hospital Opp Park in ward no 159</t>
  </si>
  <si>
    <t>Trees, Parks &amp; Playgrounds</t>
  </si>
  <si>
    <t>Karnataka Rural Infrastructure Development Ltd</t>
  </si>
  <si>
    <t>P0190</t>
  </si>
  <si>
    <t>Works sanctioned by Hon Mayor</t>
  </si>
  <si>
    <t>ddo008</t>
  </si>
  <si>
    <t xml:space="preserve"> Executive Engineer (Project) Rajarajeshwari Nagar Zone</t>
  </si>
  <si>
    <t>159-17-000057</t>
  </si>
  <si>
    <t>Consultancy Services for Preparation of Detailed Project report (DPR) for the Construction of Dialysis Center at Kengeri Division Yeshwanthapura Assembly Constituency in Ward No.159 in Kengeri Division (P-2)</t>
  </si>
  <si>
    <t xml:space="preserve">M/s. Mecadez  Core Technologies Pvt. Ltd </t>
  </si>
  <si>
    <t>P3106</t>
  </si>
  <si>
    <t>Nagarothana Works</t>
  </si>
  <si>
    <t>Spill Over</t>
  </si>
  <si>
    <t>159-16-000006</t>
  </si>
  <si>
    <t>Improvements to Roads and drains at Sriram Layout in Ward No 159 Kengeri</t>
  </si>
  <si>
    <t>Varun.V</t>
  </si>
  <si>
    <t>159-16-000007</t>
  </si>
  <si>
    <t>Improvements to Roads and drains at Babasabarapalya in Ward No 159 Kengeri</t>
  </si>
  <si>
    <t>June</t>
  </si>
  <si>
    <t>159-13-000019</t>
  </si>
  <si>
    <t>Construction of CC drain at 6th C and D cross at valagerehalli in ward no 159 Kengeri</t>
  </si>
  <si>
    <t>Footpaths &amp; Walkability</t>
  </si>
  <si>
    <t>Sri M.D.GNANEDRAMURTHY</t>
  </si>
  <si>
    <t>159-14-000048</t>
  </si>
  <si>
    <t>Improvements and asphalting to 6th main road from Mysore road flyover to Subhashnagar in ward No.159</t>
  </si>
  <si>
    <t>Technical Manager-3</t>
  </si>
  <si>
    <t>P1732</t>
  </si>
  <si>
    <t>Road network arterial roads (Project Division and Major Road Division)</t>
  </si>
  <si>
    <t>ddo661</t>
  </si>
  <si>
    <t xml:space="preserve"> Executive Engineer Road Infrastructure Rajarajeshwari Nagar Division Central Zone</t>
  </si>
  <si>
    <t>310-18-000243</t>
  </si>
  <si>
    <t>Improvements and Providing Concrete lanes in Bandemutt area in ward no 159 Kengeri</t>
  </si>
  <si>
    <t>M Rajesh (Sri Nanjundeshwara Construction)</t>
  </si>
  <si>
    <t>P3112</t>
  </si>
  <si>
    <t>Swacha Bharatha Abhiyana Grant Works</t>
  </si>
  <si>
    <t>July</t>
  </si>
  <si>
    <t>159-17-000011</t>
  </si>
  <si>
    <t>Desilting of road side drains in Kengeri Upanagar in Ward No 159 Kengeri</t>
  </si>
  <si>
    <t>KRIDL</t>
  </si>
  <si>
    <t>159-17-000012</t>
  </si>
  <si>
    <t>Desilting of road side drains in MTS Layout and Sorrounding area in Ward No 159 Kengeri</t>
  </si>
  <si>
    <t>159-17-000017</t>
  </si>
  <si>
    <t>Providing Desilting of Drain Berm Cutting and Shoulders Cleaning in Ward No 159 Kengeri</t>
  </si>
  <si>
    <t>159-17-000051</t>
  </si>
  <si>
    <t>Providing CC Camera at Garbage Black Spots in ward no159</t>
  </si>
  <si>
    <t>Crime &amp; Safety</t>
  </si>
  <si>
    <t>K Kiran Kumar (M.V.Infra services Pvt.Ltd)</t>
  </si>
  <si>
    <t>159-17-000052</t>
  </si>
  <si>
    <t>Engagement of Gangman and Hiring of Troctor Tippers for cleaning and maintenance of road side drains and other cleaning works in ward 159</t>
  </si>
  <si>
    <t>B.T.Rangaswamy</t>
  </si>
  <si>
    <t>159-17-000024</t>
  </si>
  <si>
    <t>Providing drinking water works in Ward No 159 in Kengeri Division</t>
  </si>
  <si>
    <t>Drinking Water</t>
  </si>
  <si>
    <t>M/S.KRIDL</t>
  </si>
  <si>
    <t>159-14-000001</t>
  </si>
  <si>
    <t>Annual maintenance of Electrical Crematorium by by engaging required staff including periodical cleaning of furnace DG set, cleaning of scrubber, chimeney, repairs to motors, etc at Kengeri in ward no 159 of RR Nagara zone</t>
  </si>
  <si>
    <t xml:space="preserve">BK Associates </t>
  </si>
  <si>
    <t>P0541</t>
  </si>
  <si>
    <t>Emergency Reserve Fund</t>
  </si>
  <si>
    <t>ddo009</t>
  </si>
  <si>
    <t xml:space="preserve"> Executive Engineer (Electrical) Rajarajeshwari Nagar Zone</t>
  </si>
  <si>
    <t>159-16-000002</t>
  </si>
  <si>
    <t>Operation and Maintenance of Street Light System in Ward No.159-KST(P-Kengeri ) Package R35 of RajarajeshwariNagar Zone.</t>
  </si>
  <si>
    <t>Nidhi Electricals</t>
  </si>
  <si>
    <t>P0300</t>
  </si>
  <si>
    <t>M and R to Street Lights - Replacement of Burnt Bulbs etc. (Package)</t>
  </si>
  <si>
    <t>159-13-000015</t>
  </si>
  <si>
    <t>Improvements to drain at 2nd main road from 8th cross to 6th cross in ward no 159 Kengeri</t>
  </si>
  <si>
    <t>Chandrappa</t>
  </si>
  <si>
    <t>159-16-000001</t>
  </si>
  <si>
    <t>Operation and Maintenance of Street Light System in Ward No.159-KST(P-Kengeri upanagara) Package R34 of RajarajeshwariNagar Zone.</t>
  </si>
  <si>
    <t>August</t>
  </si>
  <si>
    <t>159-17-000035</t>
  </si>
  <si>
    <t>Maintenance of electrical Cremitorium furnance and equipments using necesssery spare parts tools and skilled man power etc complete at Kengeri in ward No 159 of RR Nagar Zone</t>
  </si>
  <si>
    <t>Prema Electrical Enterprises</t>
  </si>
  <si>
    <t>P0287</t>
  </si>
  <si>
    <t>M and R to Electrical Crematoria</t>
  </si>
  <si>
    <t>159-18-000048</t>
  </si>
  <si>
    <t>Improvements to Drains at Gandhinagara Surrounding Area In Ward No 159 Kengeri</t>
  </si>
  <si>
    <t>M/S KRIDL</t>
  </si>
  <si>
    <t>P1878</t>
  </si>
  <si>
    <t>18per - Works (Bhagyajyothi, Sooru / Neeru Yojane and General) (54 Lakhs / New Wards)</t>
  </si>
  <si>
    <t>159-18-000047</t>
  </si>
  <si>
    <t>Improvements to Roads at Gandhinagara Surrounding Area In Ward No 159 Kengeri</t>
  </si>
  <si>
    <t>159-18-000049</t>
  </si>
  <si>
    <t>Improvements to Roads and Drains at Vinayakanagara Surrounding Area In Ward No 159 Kengeri</t>
  </si>
  <si>
    <t>159-18-000050</t>
  </si>
  <si>
    <t>Improvements to Roads and Drains at Kasthuramma Badavane Surrounding Area In Ward No 159 Kengeri</t>
  </si>
  <si>
    <t>September</t>
  </si>
  <si>
    <t>159-17-000042</t>
  </si>
  <si>
    <t>Providing drinking water RO plants in ward no 159</t>
  </si>
  <si>
    <t>P3075</t>
  </si>
  <si>
    <t>Special comprehensive development works in Bangalore city (Bangalore city in charge Minister Discretionary Grants)</t>
  </si>
  <si>
    <t>159-17-000048</t>
  </si>
  <si>
    <t>Supply Drinking water through tanker in Ward No 159 Kengeri</t>
  </si>
  <si>
    <t>P1802</t>
  </si>
  <si>
    <t>Water Supply New Areas</t>
  </si>
  <si>
    <t>159-17-000050</t>
  </si>
  <si>
    <t>Maintenance and Repairs of Water Supply in Ward No 159 Kengeri</t>
  </si>
  <si>
    <t>Water &amp; Sanitary</t>
  </si>
  <si>
    <t>October</t>
  </si>
  <si>
    <t>159-18-000059</t>
  </si>
  <si>
    <t xml:space="preserve">Improvements to roads and drains in 6TH C cross in Valagerehalli in Ward No.159. Kengeri. </t>
  </si>
  <si>
    <t>P3158</t>
  </si>
  <si>
    <t>SIP Infrastructure Project works</t>
  </si>
  <si>
    <t>Current</t>
  </si>
  <si>
    <t>159-18-000058</t>
  </si>
  <si>
    <t xml:space="preserve">Improvements to roads and drains in 2nd Main Road KST in Ward No.159. </t>
  </si>
  <si>
    <t>159-18-000061</t>
  </si>
  <si>
    <t xml:space="preserve">Improvements to roads and drains in Mahaveer Apartment. surrounding Bandemata in Ward No.159. </t>
  </si>
  <si>
    <t>159-18-000057</t>
  </si>
  <si>
    <t xml:space="preserve">Improvements to roads and drains in 5th Main Road KST in Ward No.159. </t>
  </si>
  <si>
    <t>159-18-000056</t>
  </si>
  <si>
    <t xml:space="preserve">Improvements to roads and drains in Bandemaa Badavane in Ward No.159. </t>
  </si>
  <si>
    <t>159-18-000060</t>
  </si>
  <si>
    <t xml:space="preserve">Improvements to roads and drains in Baba Sahebara Palya in Ward No.159. Kengeri. </t>
  </si>
  <si>
    <t>159-17-000047</t>
  </si>
  <si>
    <t xml:space="preserve"> Sinking of Borewell Energzising and Pipe Line works in Ward No 159 Kengeri</t>
  </si>
  <si>
    <t>159-18-000018</t>
  </si>
  <si>
    <t>Sinking Energing and Commissioning of Borewells in Ward No 159 Kengeri</t>
  </si>
  <si>
    <t>159-17-000021</t>
  </si>
  <si>
    <t>Improvements to Roads and Drains in Kengeri Satelite Town and Old Kengeri town in Ward No 159 Kengeri</t>
  </si>
  <si>
    <t>November</t>
  </si>
  <si>
    <t>304-17-000186</t>
  </si>
  <si>
    <t>Preparation of Detail Project Report for Construction of Bridge across Vrushabhavathi nala on suncity main road in ward no 159 in Rajarajeshwarinagara Zone</t>
  </si>
  <si>
    <t>Veera Vasu</t>
  </si>
  <si>
    <t>159-17-000015</t>
  </si>
  <si>
    <t>Providing and Fixing of Street Name Boards in Ward No 159 Kengeri</t>
  </si>
  <si>
    <t>December</t>
  </si>
  <si>
    <t>159-17-000023</t>
  </si>
  <si>
    <t>Improvements to roads and drains in Valagerahalli School sourrounding area in Ward No 159 Kengeri</t>
  </si>
  <si>
    <t>159-18-000001</t>
  </si>
  <si>
    <t>Drilling Borewells for Water Supply in ward no 159.</t>
  </si>
  <si>
    <t>M. Rajesh (Sri Nanjundeshwara Construction)</t>
  </si>
  <si>
    <t>P3321</t>
  </si>
  <si>
    <t>Special Development works at  Yeshwanthpur, Shantinagar, K.R.Puram, Assembly Constituencies Rs.5.00 Cr. Each</t>
  </si>
  <si>
    <t>159-17-000013</t>
  </si>
  <si>
    <t>Improvements to Roads and Drains in Shirke Layout in Ward No 159 Kengeri</t>
  </si>
  <si>
    <t>January</t>
  </si>
  <si>
    <t>159-18-000051</t>
  </si>
  <si>
    <t xml:space="preserve">Improvements to Footpath and beautification to Indira Kitchen Premises in Kengeri ward-159 </t>
  </si>
  <si>
    <t>159-16-000021</t>
  </si>
  <si>
    <t>providing furnace refactory side bricks at Kengeri crematorium in Ward No 159</t>
  </si>
  <si>
    <t>Public Amenities</t>
  </si>
  <si>
    <t>M/S BK ASSOCIATES,</t>
  </si>
  <si>
    <t>159-16-000022</t>
  </si>
  <si>
    <t>providing furnace refactory laying bricks at Kengeri crematorium in Ward No 159</t>
  </si>
  <si>
    <t>159-16-000024</t>
  </si>
  <si>
    <t>providing 4.5KW Kanthal heating element to furnace No 2 at Kengeri crematorium in Ward No 159</t>
  </si>
  <si>
    <t>M/S SHREE BHARATHI ELECTRICALS,</t>
  </si>
  <si>
    <t>159-16-000023</t>
  </si>
  <si>
    <t>providing 4.5KW Kanthal heating element to furnace No 1 at Kengeri crematorium in Ward No 159</t>
  </si>
  <si>
    <t>February</t>
  </si>
  <si>
    <t>March</t>
  </si>
  <si>
    <t>159-19-000002</t>
  </si>
  <si>
    <t>Improvements of roads and drains in Kengeri and surrounding areas in ward No 159</t>
  </si>
  <si>
    <t>B Siddegowda</t>
  </si>
  <si>
    <t>P3409</t>
  </si>
  <si>
    <t>SFC Untied SC-SP/TSP Grant works</t>
  </si>
  <si>
    <t>159-19-000003</t>
  </si>
  <si>
    <t>Improvements of bad drains and roads in ward no 159 Kengeri Nagara Stage-1</t>
  </si>
  <si>
    <t>B. Sidde Gowda</t>
  </si>
  <si>
    <t>P3111</t>
  </si>
  <si>
    <t>State Finance Commission Untied Grant Works</t>
  </si>
  <si>
    <t>159-19-000004</t>
  </si>
  <si>
    <t>Improvements of bad drains and roads in ward no 159 Kengeri Nagara Stage-2</t>
  </si>
  <si>
    <t>Y.H.AvinashMasti</t>
  </si>
  <si>
    <t>159-19-000001</t>
  </si>
  <si>
    <t>Improvements of roads and drains in MTS Layout and surrounding areas in ward No 159</t>
  </si>
  <si>
    <t>159-18-000017</t>
  </si>
  <si>
    <t>Maintenance work to the water supply work in Ward No 159 Kengeri</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</si>
</sst>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2"/>
  <sheetViews>
    <sheetView tabSelected="1" workbookViewId="0">
      <pane ySplit="1" topLeftCell="A2" activePane="bottomLeft" state="frozen"/>
      <selection activeCell="H1" sqref="H1"/>
      <selection pane="bottomLeft" activeCell="A2" sqref="A2:XFD62"/>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226</v>
      </c>
      <c r="B2" s="9" t="s">
        <v>33</v>
      </c>
      <c r="C2" s="10">
        <v>43195</v>
      </c>
      <c r="D2" s="11">
        <v>159</v>
      </c>
      <c r="E2" s="12" t="s">
        <v>34</v>
      </c>
      <c r="F2" s="12" t="s">
        <v>34</v>
      </c>
      <c r="G2" s="12" t="s">
        <v>34</v>
      </c>
      <c r="H2" s="12" t="s">
        <v>35</v>
      </c>
      <c r="I2" s="11" t="s">
        <v>36</v>
      </c>
      <c r="J2" s="12" t="s">
        <v>37</v>
      </c>
      <c r="K2" s="13" t="s">
        <v>38</v>
      </c>
      <c r="L2" s="11" t="str">
        <f>"000149"</f>
        <v>000149</v>
      </c>
      <c r="M2" s="10">
        <v>43097</v>
      </c>
      <c r="N2" s="11" t="str">
        <f>"333454"</f>
        <v>333454</v>
      </c>
      <c r="O2" s="10">
        <v>43175</v>
      </c>
      <c r="P2" s="11" t="str">
        <f>"000419"</f>
        <v>000419</v>
      </c>
      <c r="Q2" s="10">
        <v>43178</v>
      </c>
      <c r="R2" s="11">
        <v>17</v>
      </c>
      <c r="S2" s="11" t="str">
        <f>"000272"</f>
        <v>000272</v>
      </c>
      <c r="T2" s="10">
        <v>43195</v>
      </c>
      <c r="U2" s="14">
        <v>74.854039999999998</v>
      </c>
      <c r="V2" s="14">
        <v>6.28817</v>
      </c>
      <c r="W2" s="14">
        <v>68.565870000000004</v>
      </c>
      <c r="X2" s="11">
        <v>5</v>
      </c>
      <c r="Y2" s="10">
        <v>43195</v>
      </c>
      <c r="Z2" s="11">
        <v>8904904737</v>
      </c>
      <c r="AA2" s="12" t="s">
        <v>39</v>
      </c>
      <c r="AB2" s="11" t="s">
        <v>40</v>
      </c>
      <c r="AC2" s="12" t="s">
        <v>41</v>
      </c>
      <c r="AD2" s="11" t="s">
        <v>42</v>
      </c>
      <c r="AE2" s="12" t="s">
        <v>43</v>
      </c>
      <c r="AF2" s="14">
        <v>0.74854039999999999</v>
      </c>
      <c r="AG2" s="11" t="s">
        <v>44</v>
      </c>
    </row>
    <row r="3" spans="1:33" x14ac:dyDescent="0.2">
      <c r="A3" s="8">
        <v>440</v>
      </c>
      <c r="B3" s="9" t="s">
        <v>33</v>
      </c>
      <c r="C3" s="10">
        <v>43200</v>
      </c>
      <c r="D3" s="11">
        <v>159</v>
      </c>
      <c r="E3" s="12" t="s">
        <v>34</v>
      </c>
      <c r="F3" s="12" t="s">
        <v>34</v>
      </c>
      <c r="G3" s="12" t="s">
        <v>34</v>
      </c>
      <c r="H3" s="12" t="s">
        <v>35</v>
      </c>
      <c r="I3" s="11" t="s">
        <v>45</v>
      </c>
      <c r="J3" s="12" t="s">
        <v>46</v>
      </c>
      <c r="K3" s="13" t="s">
        <v>47</v>
      </c>
      <c r="L3" s="11" t="str">
        <f>"000224"</f>
        <v>000224</v>
      </c>
      <c r="M3" s="10">
        <v>42429</v>
      </c>
      <c r="N3" s="11" t="str">
        <f>""</f>
        <v/>
      </c>
      <c r="O3" s="10"/>
      <c r="P3" s="11" t="str">
        <f>""</f>
        <v/>
      </c>
      <c r="Q3" s="10"/>
      <c r="R3" s="11">
        <v>16</v>
      </c>
      <c r="S3" s="11" t="str">
        <f>""</f>
        <v/>
      </c>
      <c r="T3" s="10"/>
      <c r="U3" s="14">
        <v>10.9962</v>
      </c>
      <c r="V3" s="14">
        <v>0.69579999999999997</v>
      </c>
      <c r="W3" s="14">
        <v>10.3004</v>
      </c>
      <c r="X3" s="11">
        <v>9</v>
      </c>
      <c r="Y3" s="10">
        <v>43200</v>
      </c>
      <c r="Z3" s="11">
        <v>9845239989</v>
      </c>
      <c r="AA3" s="12" t="s">
        <v>48</v>
      </c>
      <c r="AB3" s="11" t="s">
        <v>49</v>
      </c>
      <c r="AC3" s="12" t="s">
        <v>50</v>
      </c>
      <c r="AD3" s="11" t="s">
        <v>42</v>
      </c>
      <c r="AE3" s="12" t="s">
        <v>43</v>
      </c>
      <c r="AF3" s="14">
        <v>0.109962</v>
      </c>
      <c r="AG3" s="11" t="s">
        <v>44</v>
      </c>
    </row>
    <row r="4" spans="1:33" x14ac:dyDescent="0.2">
      <c r="A4" s="8">
        <v>1137</v>
      </c>
      <c r="B4" s="9" t="s">
        <v>51</v>
      </c>
      <c r="C4" s="10">
        <v>43230</v>
      </c>
      <c r="D4" s="11">
        <v>159</v>
      </c>
      <c r="E4" s="12" t="s">
        <v>34</v>
      </c>
      <c r="F4" s="12" t="s">
        <v>34</v>
      </c>
      <c r="G4" s="12" t="s">
        <v>34</v>
      </c>
      <c r="H4" s="12" t="s">
        <v>35</v>
      </c>
      <c r="I4" s="11" t="s">
        <v>52</v>
      </c>
      <c r="J4" s="12" t="s">
        <v>53</v>
      </c>
      <c r="K4" s="13" t="s">
        <v>54</v>
      </c>
      <c r="L4" s="11" t="str">
        <f>"000030"</f>
        <v>000030</v>
      </c>
      <c r="M4" s="10">
        <v>42608</v>
      </c>
      <c r="N4" s="11" t="str">
        <f>"000001"</f>
        <v>000001</v>
      </c>
      <c r="O4" s="10">
        <v>42825</v>
      </c>
      <c r="P4" s="11" t="str">
        <f>"000086"</f>
        <v>000086</v>
      </c>
      <c r="Q4" s="10">
        <v>42742</v>
      </c>
      <c r="R4" s="11">
        <v>17</v>
      </c>
      <c r="S4" s="11" t="str">
        <f>"001314"</f>
        <v>001314</v>
      </c>
      <c r="T4" s="10">
        <v>43229</v>
      </c>
      <c r="U4" s="14">
        <v>21.996130000000001</v>
      </c>
      <c r="V4" s="14">
        <v>2.7361300000000002</v>
      </c>
      <c r="W4" s="14">
        <v>19.260000000000002</v>
      </c>
      <c r="X4" s="11">
        <v>48</v>
      </c>
      <c r="Y4" s="10">
        <v>43230</v>
      </c>
      <c r="Z4" s="11">
        <v>8904904737</v>
      </c>
      <c r="AA4" s="12" t="s">
        <v>55</v>
      </c>
      <c r="AB4" s="11" t="s">
        <v>56</v>
      </c>
      <c r="AC4" s="12" t="s">
        <v>57</v>
      </c>
      <c r="AD4" s="11" t="s">
        <v>58</v>
      </c>
      <c r="AE4" s="12" t="s">
        <v>59</v>
      </c>
      <c r="AF4" s="14">
        <v>0.2199613</v>
      </c>
      <c r="AG4" s="11" t="s">
        <v>44</v>
      </c>
    </row>
    <row r="5" spans="1:33" x14ac:dyDescent="0.2">
      <c r="A5" s="8">
        <v>1159</v>
      </c>
      <c r="B5" s="9" t="s">
        <v>51</v>
      </c>
      <c r="C5" s="10">
        <v>43237</v>
      </c>
      <c r="D5" s="11">
        <v>159</v>
      </c>
      <c r="E5" s="12" t="s">
        <v>34</v>
      </c>
      <c r="F5" s="12" t="s">
        <v>34</v>
      </c>
      <c r="G5" s="12" t="s">
        <v>34</v>
      </c>
      <c r="H5" s="12" t="s">
        <v>35</v>
      </c>
      <c r="I5" s="11" t="s">
        <v>60</v>
      </c>
      <c r="J5" s="12" t="s">
        <v>61</v>
      </c>
      <c r="K5" s="13" t="s">
        <v>38</v>
      </c>
      <c r="L5" s="11" t="str">
        <f>"000081"</f>
        <v>000081</v>
      </c>
      <c r="M5" s="10">
        <v>43069</v>
      </c>
      <c r="N5" s="11" t="str">
        <f>"000033"</f>
        <v>000033</v>
      </c>
      <c r="O5" s="10">
        <v>43199</v>
      </c>
      <c r="P5" s="11" t="str">
        <f>"000057"</f>
        <v>000057</v>
      </c>
      <c r="Q5" s="10">
        <v>43207</v>
      </c>
      <c r="R5" s="11">
        <v>17</v>
      </c>
      <c r="S5" s="11" t="str">
        <f>"001371"</f>
        <v>001371</v>
      </c>
      <c r="T5" s="10">
        <v>43231</v>
      </c>
      <c r="U5" s="14">
        <v>4.891</v>
      </c>
      <c r="V5" s="14">
        <v>0.48909999999999998</v>
      </c>
      <c r="W5" s="14">
        <v>4.4019000000000004</v>
      </c>
      <c r="X5" s="11">
        <v>51</v>
      </c>
      <c r="Y5" s="10">
        <v>43237</v>
      </c>
      <c r="Z5" s="11">
        <v>9538136111</v>
      </c>
      <c r="AA5" s="12" t="s">
        <v>62</v>
      </c>
      <c r="AB5" s="11" t="s">
        <v>63</v>
      </c>
      <c r="AC5" s="12" t="s">
        <v>64</v>
      </c>
      <c r="AD5" s="11" t="s">
        <v>42</v>
      </c>
      <c r="AE5" s="12" t="s">
        <v>43</v>
      </c>
      <c r="AF5" s="14">
        <v>4.8910000000000002E-2</v>
      </c>
      <c r="AG5" s="11" t="s">
        <v>65</v>
      </c>
    </row>
    <row r="6" spans="1:33" x14ac:dyDescent="0.2">
      <c r="A6" s="8">
        <v>1246</v>
      </c>
      <c r="B6" s="9" t="s">
        <v>51</v>
      </c>
      <c r="C6" s="10">
        <v>43238</v>
      </c>
      <c r="D6" s="11">
        <v>159</v>
      </c>
      <c r="E6" s="12" t="s">
        <v>34</v>
      </c>
      <c r="F6" s="12" t="s">
        <v>34</v>
      </c>
      <c r="G6" s="12" t="s">
        <v>34</v>
      </c>
      <c r="H6" s="12" t="s">
        <v>35</v>
      </c>
      <c r="I6" s="11" t="s">
        <v>66</v>
      </c>
      <c r="J6" s="12" t="s">
        <v>67</v>
      </c>
      <c r="K6" s="13" t="s">
        <v>47</v>
      </c>
      <c r="L6" s="11" t="str">
        <f>"000034"</f>
        <v>000034</v>
      </c>
      <c r="M6" s="10">
        <v>42522</v>
      </c>
      <c r="N6" s="11" t="str">
        <f>"000083"</f>
        <v>000083</v>
      </c>
      <c r="O6" s="10">
        <v>42590</v>
      </c>
      <c r="P6" s="11" t="str">
        <f>"000195"</f>
        <v>000195</v>
      </c>
      <c r="Q6" s="10">
        <v>42590</v>
      </c>
      <c r="R6" s="11">
        <v>16</v>
      </c>
      <c r="S6" s="11" t="str">
        <f>"001377"</f>
        <v>001377</v>
      </c>
      <c r="T6" s="10">
        <v>43236</v>
      </c>
      <c r="U6" s="14">
        <v>9.9880700000000004</v>
      </c>
      <c r="V6" s="14">
        <v>0.66137000000000001</v>
      </c>
      <c r="W6" s="14">
        <v>9.3267000000000007</v>
      </c>
      <c r="X6" s="11">
        <v>52</v>
      </c>
      <c r="Y6" s="10">
        <v>43238</v>
      </c>
      <c r="Z6" s="11">
        <v>7795100125</v>
      </c>
      <c r="AA6" s="12" t="s">
        <v>68</v>
      </c>
      <c r="AB6" s="11" t="s">
        <v>49</v>
      </c>
      <c r="AC6" s="12" t="s">
        <v>50</v>
      </c>
      <c r="AD6" s="11" t="s">
        <v>42</v>
      </c>
      <c r="AE6" s="12" t="s">
        <v>43</v>
      </c>
      <c r="AF6" s="14">
        <v>9.9880700000000003E-2</v>
      </c>
      <c r="AG6" s="11" t="s">
        <v>44</v>
      </c>
    </row>
    <row r="7" spans="1:33" x14ac:dyDescent="0.2">
      <c r="A7" s="8">
        <v>1247</v>
      </c>
      <c r="B7" s="9" t="s">
        <v>51</v>
      </c>
      <c r="C7" s="10">
        <v>43238</v>
      </c>
      <c r="D7" s="11">
        <v>159</v>
      </c>
      <c r="E7" s="12" t="s">
        <v>34</v>
      </c>
      <c r="F7" s="12" t="s">
        <v>34</v>
      </c>
      <c r="G7" s="12" t="s">
        <v>34</v>
      </c>
      <c r="H7" s="12" t="s">
        <v>35</v>
      </c>
      <c r="I7" s="11" t="s">
        <v>69</v>
      </c>
      <c r="J7" s="12" t="s">
        <v>70</v>
      </c>
      <c r="K7" s="13" t="s">
        <v>47</v>
      </c>
      <c r="L7" s="11" t="str">
        <f>"000035"</f>
        <v>000035</v>
      </c>
      <c r="M7" s="10">
        <v>42522</v>
      </c>
      <c r="N7" s="11" t="str">
        <f>"000082"</f>
        <v>000082</v>
      </c>
      <c r="O7" s="10">
        <v>42590</v>
      </c>
      <c r="P7" s="11" t="str">
        <f>"000196"</f>
        <v>000196</v>
      </c>
      <c r="Q7" s="10">
        <v>42590</v>
      </c>
      <c r="R7" s="11">
        <v>16</v>
      </c>
      <c r="S7" s="11" t="str">
        <f>"001378"</f>
        <v>001378</v>
      </c>
      <c r="T7" s="10">
        <v>43236</v>
      </c>
      <c r="U7" s="14">
        <v>9.44876</v>
      </c>
      <c r="V7" s="14">
        <v>0.62846000000000002</v>
      </c>
      <c r="W7" s="14">
        <v>8.8202999999999996</v>
      </c>
      <c r="X7" s="11">
        <v>52</v>
      </c>
      <c r="Y7" s="10">
        <v>43238</v>
      </c>
      <c r="Z7" s="11">
        <v>9902988754</v>
      </c>
      <c r="AA7" s="12" t="s">
        <v>68</v>
      </c>
      <c r="AB7" s="11" t="s">
        <v>49</v>
      </c>
      <c r="AC7" s="12" t="s">
        <v>50</v>
      </c>
      <c r="AD7" s="11" t="s">
        <v>42</v>
      </c>
      <c r="AE7" s="12" t="s">
        <v>43</v>
      </c>
      <c r="AF7" s="14">
        <v>9.4487600000000005E-2</v>
      </c>
      <c r="AG7" s="11" t="s">
        <v>44</v>
      </c>
    </row>
    <row r="8" spans="1:33" x14ac:dyDescent="0.2">
      <c r="A8" s="8">
        <v>1892</v>
      </c>
      <c r="B8" s="9" t="s">
        <v>71</v>
      </c>
      <c r="C8" s="10">
        <v>43257</v>
      </c>
      <c r="D8" s="11">
        <v>159</v>
      </c>
      <c r="E8" s="12" t="s">
        <v>34</v>
      </c>
      <c r="F8" s="12" t="s">
        <v>34</v>
      </c>
      <c r="G8" s="12" t="s">
        <v>34</v>
      </c>
      <c r="H8" s="12" t="s">
        <v>35</v>
      </c>
      <c r="I8" s="11" t="s">
        <v>72</v>
      </c>
      <c r="J8" s="12" t="s">
        <v>73</v>
      </c>
      <c r="K8" s="13" t="s">
        <v>74</v>
      </c>
      <c r="L8" s="11" t="str">
        <f>"000053"</f>
        <v>000053</v>
      </c>
      <c r="M8" s="10">
        <v>42569</v>
      </c>
      <c r="N8" s="11" t="str">
        <f>"000108"</f>
        <v>000108</v>
      </c>
      <c r="O8" s="10">
        <v>42613</v>
      </c>
      <c r="P8" s="11" t="str">
        <f>"000255"</f>
        <v>000255</v>
      </c>
      <c r="Q8" s="10">
        <v>42629</v>
      </c>
      <c r="R8" s="11">
        <v>13</v>
      </c>
      <c r="S8" s="11" t="str">
        <f>"002178"</f>
        <v>002178</v>
      </c>
      <c r="T8" s="10">
        <v>43255</v>
      </c>
      <c r="U8" s="14">
        <v>18.044779999999999</v>
      </c>
      <c r="V8" s="14">
        <v>1.25726</v>
      </c>
      <c r="W8" s="14">
        <v>16.787520000000001</v>
      </c>
      <c r="X8" s="11">
        <v>71</v>
      </c>
      <c r="Y8" s="10">
        <v>43257</v>
      </c>
      <c r="Z8" s="11">
        <v>9986020978</v>
      </c>
      <c r="AA8" s="12" t="s">
        <v>75</v>
      </c>
      <c r="AB8" s="11" t="s">
        <v>49</v>
      </c>
      <c r="AC8" s="12" t="s">
        <v>50</v>
      </c>
      <c r="AD8" s="11" t="s">
        <v>42</v>
      </c>
      <c r="AE8" s="12" t="s">
        <v>43</v>
      </c>
      <c r="AF8" s="14">
        <v>0.18044779999999999</v>
      </c>
      <c r="AG8" s="11" t="s">
        <v>44</v>
      </c>
    </row>
    <row r="9" spans="1:33" x14ac:dyDescent="0.2">
      <c r="A9" s="8">
        <v>2601</v>
      </c>
      <c r="B9" s="9" t="s">
        <v>71</v>
      </c>
      <c r="C9" s="10">
        <v>43274</v>
      </c>
      <c r="D9" s="11">
        <v>159</v>
      </c>
      <c r="E9" s="12" t="s">
        <v>34</v>
      </c>
      <c r="F9" s="12" t="s">
        <v>34</v>
      </c>
      <c r="G9" s="12" t="s">
        <v>34</v>
      </c>
      <c r="H9" s="12" t="s">
        <v>35</v>
      </c>
      <c r="I9" s="11" t="s">
        <v>76</v>
      </c>
      <c r="J9" s="12" t="s">
        <v>77</v>
      </c>
      <c r="K9" s="13" t="s">
        <v>47</v>
      </c>
      <c r="L9" s="11" t="str">
        <f>"000017"</f>
        <v>000017</v>
      </c>
      <c r="M9" s="10">
        <v>41843</v>
      </c>
      <c r="N9" s="11" t="str">
        <f>"000027"</f>
        <v>000027</v>
      </c>
      <c r="O9" s="10">
        <v>42612</v>
      </c>
      <c r="P9" s="11" t="str">
        <f>"000027"</f>
        <v>000027</v>
      </c>
      <c r="Q9" s="10">
        <v>42612</v>
      </c>
      <c r="R9" s="11">
        <v>14</v>
      </c>
      <c r="S9" s="11" t="str">
        <f>"002631"</f>
        <v>002631</v>
      </c>
      <c r="T9" s="10">
        <v>43269</v>
      </c>
      <c r="U9" s="14">
        <v>6.0511200000000001</v>
      </c>
      <c r="V9" s="14">
        <v>1.0107900000000001</v>
      </c>
      <c r="W9" s="14">
        <v>5.04033</v>
      </c>
      <c r="X9" s="11">
        <v>99</v>
      </c>
      <c r="Y9" s="10">
        <v>43274</v>
      </c>
      <c r="Z9" s="11">
        <v>9448279917</v>
      </c>
      <c r="AA9" s="12" t="s">
        <v>78</v>
      </c>
      <c r="AB9" s="11" t="s">
        <v>79</v>
      </c>
      <c r="AC9" s="12" t="s">
        <v>80</v>
      </c>
      <c r="AD9" s="11" t="s">
        <v>81</v>
      </c>
      <c r="AE9" s="12" t="s">
        <v>82</v>
      </c>
      <c r="AF9" s="14">
        <v>6.0511200000000001E-2</v>
      </c>
      <c r="AG9" s="11" t="s">
        <v>44</v>
      </c>
    </row>
    <row r="10" spans="1:33" x14ac:dyDescent="0.2">
      <c r="A10" s="8">
        <v>2656</v>
      </c>
      <c r="B10" s="9" t="s">
        <v>71</v>
      </c>
      <c r="C10" s="10">
        <v>43276</v>
      </c>
      <c r="D10" s="11">
        <v>159</v>
      </c>
      <c r="E10" s="12" t="s">
        <v>34</v>
      </c>
      <c r="F10" s="12" t="s">
        <v>34</v>
      </c>
      <c r="G10" s="12" t="s">
        <v>34</v>
      </c>
      <c r="H10" s="12" t="s">
        <v>35</v>
      </c>
      <c r="I10" s="11" t="s">
        <v>83</v>
      </c>
      <c r="J10" s="12" t="s">
        <v>84</v>
      </c>
      <c r="K10" s="13" t="s">
        <v>47</v>
      </c>
      <c r="L10" s="11" t="str">
        <f>"000401"</f>
        <v>000401</v>
      </c>
      <c r="M10" s="10">
        <v>43182</v>
      </c>
      <c r="N10" s="11" t="str">
        <f>"000058"</f>
        <v>000058</v>
      </c>
      <c r="O10" s="10">
        <v>43222</v>
      </c>
      <c r="P10" s="11" t="str">
        <f>"000102"</f>
        <v>000102</v>
      </c>
      <c r="Q10" s="10">
        <v>43229</v>
      </c>
      <c r="R10" s="11">
        <v>18</v>
      </c>
      <c r="S10" s="11" t="str">
        <f>"002963"</f>
        <v>002963</v>
      </c>
      <c r="T10" s="10">
        <v>43276</v>
      </c>
      <c r="U10" s="14">
        <v>95.832329999999999</v>
      </c>
      <c r="V10" s="14">
        <v>8.9994200000000006</v>
      </c>
      <c r="W10" s="14">
        <v>86.832909999999998</v>
      </c>
      <c r="X10" s="11">
        <v>101</v>
      </c>
      <c r="Y10" s="10">
        <v>43276</v>
      </c>
      <c r="Z10" s="11">
        <v>9886073963</v>
      </c>
      <c r="AA10" s="12" t="s">
        <v>85</v>
      </c>
      <c r="AB10" s="11" t="s">
        <v>86</v>
      </c>
      <c r="AC10" s="12" t="s">
        <v>87</v>
      </c>
      <c r="AD10" s="11" t="s">
        <v>42</v>
      </c>
      <c r="AE10" s="12" t="s">
        <v>43</v>
      </c>
      <c r="AF10" s="14">
        <v>0.95832329999999999</v>
      </c>
      <c r="AG10" s="11" t="s">
        <v>65</v>
      </c>
    </row>
    <row r="11" spans="1:33" x14ac:dyDescent="0.2">
      <c r="A11" s="8">
        <v>2930</v>
      </c>
      <c r="B11" s="9" t="s">
        <v>88</v>
      </c>
      <c r="C11" s="10">
        <v>43283</v>
      </c>
      <c r="D11" s="11">
        <v>159</v>
      </c>
      <c r="E11" s="12" t="s">
        <v>34</v>
      </c>
      <c r="F11" s="12" t="s">
        <v>34</v>
      </c>
      <c r="G11" s="12" t="s">
        <v>34</v>
      </c>
      <c r="H11" s="12" t="s">
        <v>35</v>
      </c>
      <c r="I11" s="11" t="s">
        <v>89</v>
      </c>
      <c r="J11" s="12" t="s">
        <v>90</v>
      </c>
      <c r="K11" s="13" t="s">
        <v>74</v>
      </c>
      <c r="L11" s="11" t="str">
        <f>"000015"</f>
        <v>000015</v>
      </c>
      <c r="M11" s="10">
        <v>42832</v>
      </c>
      <c r="N11" s="11" t="str">
        <f>"000034"</f>
        <v>000034</v>
      </c>
      <c r="O11" s="10">
        <v>42877</v>
      </c>
      <c r="P11" s="11" t="str">
        <f>"000068"</f>
        <v>000068</v>
      </c>
      <c r="Q11" s="10">
        <v>42880</v>
      </c>
      <c r="R11" s="11">
        <v>17</v>
      </c>
      <c r="S11" s="11" t="str">
        <f>"003067"</f>
        <v>003067</v>
      </c>
      <c r="T11" s="10">
        <v>43278</v>
      </c>
      <c r="U11" s="14">
        <v>9.9948999999999995</v>
      </c>
      <c r="V11" s="14">
        <v>1.2094400000000001</v>
      </c>
      <c r="W11" s="14">
        <v>8.7854600000000005</v>
      </c>
      <c r="X11" s="11">
        <v>108</v>
      </c>
      <c r="Y11" s="10">
        <v>43283</v>
      </c>
      <c r="Z11" s="11">
        <v>9845235505</v>
      </c>
      <c r="AA11" s="12" t="s">
        <v>91</v>
      </c>
      <c r="AB11" s="11" t="s">
        <v>49</v>
      </c>
      <c r="AC11" s="12" t="s">
        <v>50</v>
      </c>
      <c r="AD11" s="11" t="s">
        <v>42</v>
      </c>
      <c r="AE11" s="12" t="s">
        <v>43</v>
      </c>
      <c r="AF11" s="14">
        <v>9.9948999999999996E-2</v>
      </c>
      <c r="AG11" s="11" t="s">
        <v>44</v>
      </c>
    </row>
    <row r="12" spans="1:33" x14ac:dyDescent="0.2">
      <c r="A12" s="8">
        <v>2931</v>
      </c>
      <c r="B12" s="9" t="s">
        <v>88</v>
      </c>
      <c r="C12" s="10">
        <v>43283</v>
      </c>
      <c r="D12" s="11">
        <v>159</v>
      </c>
      <c r="E12" s="12" t="s">
        <v>34</v>
      </c>
      <c r="F12" s="12" t="s">
        <v>34</v>
      </c>
      <c r="G12" s="12" t="s">
        <v>34</v>
      </c>
      <c r="H12" s="12" t="s">
        <v>35</v>
      </c>
      <c r="I12" s="11" t="s">
        <v>92</v>
      </c>
      <c r="J12" s="12" t="s">
        <v>93</v>
      </c>
      <c r="K12" s="13" t="s">
        <v>74</v>
      </c>
      <c r="L12" s="11" t="str">
        <f>"000016"</f>
        <v>000016</v>
      </c>
      <c r="M12" s="10">
        <v>42832</v>
      </c>
      <c r="N12" s="11" t="str">
        <f>"000035"</f>
        <v>000035</v>
      </c>
      <c r="O12" s="10">
        <v>42877</v>
      </c>
      <c r="P12" s="11" t="str">
        <f>"000069"</f>
        <v>000069</v>
      </c>
      <c r="Q12" s="10">
        <v>42880</v>
      </c>
      <c r="R12" s="11">
        <v>17</v>
      </c>
      <c r="S12" s="11" t="str">
        <f>"003068"</f>
        <v>003068</v>
      </c>
      <c r="T12" s="10">
        <v>43278</v>
      </c>
      <c r="U12" s="14">
        <v>9.9929500000000004</v>
      </c>
      <c r="V12" s="14">
        <v>1.20922</v>
      </c>
      <c r="W12" s="14">
        <v>8.7837300000000003</v>
      </c>
      <c r="X12" s="11">
        <v>108</v>
      </c>
      <c r="Y12" s="10">
        <v>43283</v>
      </c>
      <c r="Z12" s="11">
        <v>9845235505</v>
      </c>
      <c r="AA12" s="12" t="s">
        <v>91</v>
      </c>
      <c r="AB12" s="11" t="s">
        <v>49</v>
      </c>
      <c r="AC12" s="12" t="s">
        <v>50</v>
      </c>
      <c r="AD12" s="11" t="s">
        <v>42</v>
      </c>
      <c r="AE12" s="12" t="s">
        <v>43</v>
      </c>
      <c r="AF12" s="14">
        <v>9.9929500000000004E-2</v>
      </c>
      <c r="AG12" s="11" t="s">
        <v>44</v>
      </c>
    </row>
    <row r="13" spans="1:33" x14ac:dyDescent="0.2">
      <c r="A13" s="8">
        <v>2932</v>
      </c>
      <c r="B13" s="9" t="s">
        <v>88</v>
      </c>
      <c r="C13" s="10">
        <v>43283</v>
      </c>
      <c r="D13" s="11">
        <v>159</v>
      </c>
      <c r="E13" s="12" t="s">
        <v>34</v>
      </c>
      <c r="F13" s="12" t="s">
        <v>34</v>
      </c>
      <c r="G13" s="12" t="s">
        <v>34</v>
      </c>
      <c r="H13" s="12" t="s">
        <v>35</v>
      </c>
      <c r="I13" s="11" t="s">
        <v>94</v>
      </c>
      <c r="J13" s="12" t="s">
        <v>95</v>
      </c>
      <c r="K13" s="13" t="s">
        <v>74</v>
      </c>
      <c r="L13" s="11" t="str">
        <f>"000021"</f>
        <v>000021</v>
      </c>
      <c r="M13" s="10">
        <v>42845</v>
      </c>
      <c r="N13" s="11" t="str">
        <f>""</f>
        <v/>
      </c>
      <c r="O13" s="10"/>
      <c r="P13" s="11" t="str">
        <f>""</f>
        <v/>
      </c>
      <c r="Q13" s="10"/>
      <c r="R13" s="11">
        <v>17</v>
      </c>
      <c r="S13" s="11" t="str">
        <f>""</f>
        <v/>
      </c>
      <c r="T13" s="10"/>
      <c r="U13" s="14">
        <v>4.9105600000000003</v>
      </c>
      <c r="V13" s="14">
        <v>0.59506999999999999</v>
      </c>
      <c r="W13" s="14">
        <v>4.3154899999999996</v>
      </c>
      <c r="X13" s="11">
        <v>108</v>
      </c>
      <c r="Y13" s="10">
        <v>43283</v>
      </c>
      <c r="Z13" s="11">
        <v>9845235505</v>
      </c>
      <c r="AA13" s="12" t="s">
        <v>91</v>
      </c>
      <c r="AB13" s="11" t="s">
        <v>49</v>
      </c>
      <c r="AC13" s="12" t="s">
        <v>50</v>
      </c>
      <c r="AD13" s="11" t="s">
        <v>42</v>
      </c>
      <c r="AE13" s="12" t="s">
        <v>43</v>
      </c>
      <c r="AF13" s="14">
        <v>4.9105599999999999E-2</v>
      </c>
      <c r="AG13" s="11" t="s">
        <v>44</v>
      </c>
    </row>
    <row r="14" spans="1:33" x14ac:dyDescent="0.2">
      <c r="A14" s="8">
        <v>3104</v>
      </c>
      <c r="B14" s="9" t="s">
        <v>88</v>
      </c>
      <c r="C14" s="10">
        <v>43287</v>
      </c>
      <c r="D14" s="11">
        <v>159</v>
      </c>
      <c r="E14" s="12" t="s">
        <v>34</v>
      </c>
      <c r="F14" s="12" t="s">
        <v>34</v>
      </c>
      <c r="G14" s="12" t="s">
        <v>34</v>
      </c>
      <c r="H14" s="12" t="s">
        <v>35</v>
      </c>
      <c r="I14" s="11" t="s">
        <v>96</v>
      </c>
      <c r="J14" s="12" t="s">
        <v>97</v>
      </c>
      <c r="K14" s="13" t="s">
        <v>98</v>
      </c>
      <c r="L14" s="11" t="str">
        <f>"000137"</f>
        <v>000137</v>
      </c>
      <c r="M14" s="10">
        <v>43089</v>
      </c>
      <c r="N14" s="11" t="str">
        <f>"000053"</f>
        <v>000053</v>
      </c>
      <c r="O14" s="10">
        <v>43215</v>
      </c>
      <c r="P14" s="11" t="str">
        <f>"000079"</f>
        <v>000079</v>
      </c>
      <c r="Q14" s="10">
        <v>43216</v>
      </c>
      <c r="R14" s="11">
        <v>17</v>
      </c>
      <c r="S14" s="11" t="str">
        <f>"003346"</f>
        <v>003346</v>
      </c>
      <c r="T14" s="10">
        <v>43286</v>
      </c>
      <c r="U14" s="14">
        <v>8.3848000000000003</v>
      </c>
      <c r="V14" s="14">
        <v>0.27202999999999999</v>
      </c>
      <c r="W14" s="14">
        <v>8.1127699999999994</v>
      </c>
      <c r="X14" s="11">
        <v>114</v>
      </c>
      <c r="Y14" s="10">
        <v>43287</v>
      </c>
      <c r="Z14" s="11">
        <v>9845193228</v>
      </c>
      <c r="AA14" s="12" t="s">
        <v>99</v>
      </c>
      <c r="AB14" s="11" t="s">
        <v>40</v>
      </c>
      <c r="AC14" s="12" t="s">
        <v>41</v>
      </c>
      <c r="AD14" s="11" t="s">
        <v>42</v>
      </c>
      <c r="AE14" s="12" t="s">
        <v>43</v>
      </c>
      <c r="AF14" s="14">
        <v>8.3848000000000006E-2</v>
      </c>
      <c r="AG14" s="11" t="s">
        <v>65</v>
      </c>
    </row>
    <row r="15" spans="1:33" x14ac:dyDescent="0.2">
      <c r="A15" s="8">
        <v>3251</v>
      </c>
      <c r="B15" s="9" t="s">
        <v>88</v>
      </c>
      <c r="C15" s="10">
        <v>43293</v>
      </c>
      <c r="D15" s="11">
        <v>159</v>
      </c>
      <c r="E15" s="12" t="s">
        <v>34</v>
      </c>
      <c r="F15" s="12" t="s">
        <v>34</v>
      </c>
      <c r="G15" s="12" t="s">
        <v>34</v>
      </c>
      <c r="H15" s="12" t="s">
        <v>35</v>
      </c>
      <c r="I15" s="11" t="s">
        <v>100</v>
      </c>
      <c r="J15" s="12" t="s">
        <v>101</v>
      </c>
      <c r="K15" s="13" t="s">
        <v>74</v>
      </c>
      <c r="L15" s="11" t="str">
        <f>"000165"</f>
        <v>000165</v>
      </c>
      <c r="M15" s="10">
        <v>43099</v>
      </c>
      <c r="N15" s="11" t="str">
        <f>"000090"</f>
        <v>000090</v>
      </c>
      <c r="O15" s="10">
        <v>43256</v>
      </c>
      <c r="P15" s="11" t="str">
        <f>"000117"</f>
        <v>000117</v>
      </c>
      <c r="Q15" s="10">
        <v>43257</v>
      </c>
      <c r="R15" s="11">
        <v>17</v>
      </c>
      <c r="S15" s="11" t="str">
        <f>"003603"</f>
        <v>003603</v>
      </c>
      <c r="T15" s="10">
        <v>43292</v>
      </c>
      <c r="U15" s="14">
        <v>6.6140699999999999</v>
      </c>
      <c r="V15" s="14">
        <v>0.13889000000000001</v>
      </c>
      <c r="W15" s="14">
        <v>6.4751799999999999</v>
      </c>
      <c r="X15" s="11">
        <v>123</v>
      </c>
      <c r="Y15" s="10">
        <v>43293</v>
      </c>
      <c r="Z15" s="11">
        <v>9449754323</v>
      </c>
      <c r="AA15" s="12" t="s">
        <v>102</v>
      </c>
      <c r="AB15" s="11" t="s">
        <v>40</v>
      </c>
      <c r="AC15" s="12" t="s">
        <v>41</v>
      </c>
      <c r="AD15" s="11" t="s">
        <v>42</v>
      </c>
      <c r="AE15" s="12" t="s">
        <v>43</v>
      </c>
      <c r="AF15" s="14">
        <v>6.6140699999999997E-2</v>
      </c>
      <c r="AG15" s="11" t="s">
        <v>65</v>
      </c>
    </row>
    <row r="16" spans="1:33" x14ac:dyDescent="0.2">
      <c r="A16" s="8">
        <v>3252</v>
      </c>
      <c r="B16" s="9" t="s">
        <v>88</v>
      </c>
      <c r="C16" s="10">
        <v>43293</v>
      </c>
      <c r="D16" s="11">
        <v>159</v>
      </c>
      <c r="E16" s="12" t="s">
        <v>34</v>
      </c>
      <c r="F16" s="12" t="s">
        <v>34</v>
      </c>
      <c r="G16" s="12" t="s">
        <v>34</v>
      </c>
      <c r="H16" s="12" t="s">
        <v>35</v>
      </c>
      <c r="I16" s="11" t="s">
        <v>103</v>
      </c>
      <c r="J16" s="12" t="s">
        <v>104</v>
      </c>
      <c r="K16" s="13" t="s">
        <v>105</v>
      </c>
      <c r="L16" s="11" t="str">
        <f>"000010"</f>
        <v>000010</v>
      </c>
      <c r="M16" s="10">
        <v>42992</v>
      </c>
      <c r="N16" s="11" t="str">
        <f>"000091"</f>
        <v>000091</v>
      </c>
      <c r="O16" s="10">
        <v>43256</v>
      </c>
      <c r="P16" s="11" t="str">
        <f>"000120"</f>
        <v>000120</v>
      </c>
      <c r="Q16" s="10">
        <v>43257</v>
      </c>
      <c r="R16" s="11">
        <v>17</v>
      </c>
      <c r="S16" s="11" t="str">
        <f>"003604"</f>
        <v>003604</v>
      </c>
      <c r="T16" s="10">
        <v>43292</v>
      </c>
      <c r="U16" s="14">
        <v>12.764709999999999</v>
      </c>
      <c r="V16" s="14">
        <v>1.1615800000000001</v>
      </c>
      <c r="W16" s="14">
        <v>11.60313</v>
      </c>
      <c r="X16" s="11">
        <v>123</v>
      </c>
      <c r="Y16" s="10">
        <v>43293</v>
      </c>
      <c r="Z16" s="11">
        <v>9845235505</v>
      </c>
      <c r="AA16" s="12" t="s">
        <v>106</v>
      </c>
      <c r="AB16" s="11" t="s">
        <v>40</v>
      </c>
      <c r="AC16" s="12" t="s">
        <v>41</v>
      </c>
      <c r="AD16" s="11" t="s">
        <v>42</v>
      </c>
      <c r="AE16" s="12" t="s">
        <v>43</v>
      </c>
      <c r="AF16" s="14">
        <v>0.12764709999999999</v>
      </c>
      <c r="AG16" s="11" t="s">
        <v>65</v>
      </c>
    </row>
    <row r="17" spans="1:33" x14ac:dyDescent="0.2">
      <c r="A17" s="8">
        <v>3591</v>
      </c>
      <c r="B17" s="9" t="s">
        <v>88</v>
      </c>
      <c r="C17" s="10">
        <v>43299</v>
      </c>
      <c r="D17" s="11">
        <v>159</v>
      </c>
      <c r="E17" s="12" t="s">
        <v>34</v>
      </c>
      <c r="F17" s="12" t="s">
        <v>34</v>
      </c>
      <c r="G17" s="12" t="s">
        <v>34</v>
      </c>
      <c r="H17" s="12" t="s">
        <v>35</v>
      </c>
      <c r="I17" s="11" t="s">
        <v>107</v>
      </c>
      <c r="J17" s="12" t="s">
        <v>108</v>
      </c>
      <c r="K17" s="13" t="s">
        <v>38</v>
      </c>
      <c r="L17" s="11" t="str">
        <f>"000083"</f>
        <v>000083</v>
      </c>
      <c r="M17" s="10">
        <v>42461</v>
      </c>
      <c r="N17" s="11" t="str">
        <f>"000017"</f>
        <v>000017</v>
      </c>
      <c r="O17" s="10">
        <v>42916</v>
      </c>
      <c r="P17" s="11" t="str">
        <f>"000023"</f>
        <v>000023</v>
      </c>
      <c r="Q17" s="10">
        <v>42916</v>
      </c>
      <c r="R17" s="11">
        <v>14</v>
      </c>
      <c r="S17" s="11" t="str">
        <f>"003528"</f>
        <v>003528</v>
      </c>
      <c r="T17" s="10">
        <v>43291</v>
      </c>
      <c r="U17" s="14">
        <v>1.4585399999999999</v>
      </c>
      <c r="V17" s="14">
        <v>0.16250000000000001</v>
      </c>
      <c r="W17" s="14">
        <v>1.2960400000000001</v>
      </c>
      <c r="X17" s="11">
        <v>127</v>
      </c>
      <c r="Y17" s="10">
        <v>43299</v>
      </c>
      <c r="Z17" s="11">
        <v>9886197871</v>
      </c>
      <c r="AA17" s="12" t="s">
        <v>109</v>
      </c>
      <c r="AB17" s="11" t="s">
        <v>110</v>
      </c>
      <c r="AC17" s="12" t="s">
        <v>111</v>
      </c>
      <c r="AD17" s="11" t="s">
        <v>112</v>
      </c>
      <c r="AE17" s="12" t="s">
        <v>113</v>
      </c>
      <c r="AF17" s="14">
        <v>1.45854E-2</v>
      </c>
      <c r="AG17" s="11" t="s">
        <v>44</v>
      </c>
    </row>
    <row r="18" spans="1:33" x14ac:dyDescent="0.2">
      <c r="A18" s="8">
        <v>3592</v>
      </c>
      <c r="B18" s="9" t="s">
        <v>88</v>
      </c>
      <c r="C18" s="10">
        <v>43299</v>
      </c>
      <c r="D18" s="11">
        <v>159</v>
      </c>
      <c r="E18" s="12" t="s">
        <v>34</v>
      </c>
      <c r="F18" s="12" t="s">
        <v>34</v>
      </c>
      <c r="G18" s="12" t="s">
        <v>34</v>
      </c>
      <c r="H18" s="12" t="s">
        <v>35</v>
      </c>
      <c r="I18" s="11" t="s">
        <v>114</v>
      </c>
      <c r="J18" s="12" t="s">
        <v>115</v>
      </c>
      <c r="K18" s="13" t="s">
        <v>74</v>
      </c>
      <c r="L18" s="11" t="str">
        <f>"000015"</f>
        <v>000015</v>
      </c>
      <c r="M18" s="10">
        <v>42766</v>
      </c>
      <c r="N18" s="11" t="str">
        <f>"000127"</f>
        <v>000127</v>
      </c>
      <c r="O18" s="10">
        <v>43190</v>
      </c>
      <c r="P18" s="11" t="str">
        <f>"000127"</f>
        <v>000127</v>
      </c>
      <c r="Q18" s="10">
        <v>43190</v>
      </c>
      <c r="R18" s="11">
        <v>16</v>
      </c>
      <c r="S18" s="11" t="str">
        <f>"004853"</f>
        <v>004853</v>
      </c>
      <c r="T18" s="10">
        <v>43316</v>
      </c>
      <c r="U18" s="14">
        <v>4.3980699999999997</v>
      </c>
      <c r="V18" s="14">
        <v>0.60114000000000001</v>
      </c>
      <c r="W18" s="14">
        <v>3.7969300000000001</v>
      </c>
      <c r="X18" s="11">
        <v>127</v>
      </c>
      <c r="Y18" s="10">
        <v>43299</v>
      </c>
      <c r="Z18" s="11">
        <v>9845331877</v>
      </c>
      <c r="AA18" s="12" t="s">
        <v>116</v>
      </c>
      <c r="AB18" s="11" t="s">
        <v>117</v>
      </c>
      <c r="AC18" s="12" t="s">
        <v>118</v>
      </c>
      <c r="AD18" s="11" t="s">
        <v>112</v>
      </c>
      <c r="AE18" s="12" t="s">
        <v>113</v>
      </c>
      <c r="AF18" s="14">
        <v>4.3980699999999998E-2</v>
      </c>
      <c r="AG18" s="11" t="s">
        <v>44</v>
      </c>
    </row>
    <row r="19" spans="1:33" x14ac:dyDescent="0.2">
      <c r="A19" s="8">
        <v>3948</v>
      </c>
      <c r="B19" s="9" t="s">
        <v>88</v>
      </c>
      <c r="C19" s="10">
        <v>43305</v>
      </c>
      <c r="D19" s="11">
        <v>159</v>
      </c>
      <c r="E19" s="12" t="s">
        <v>34</v>
      </c>
      <c r="F19" s="12" t="s">
        <v>34</v>
      </c>
      <c r="G19" s="12" t="s">
        <v>34</v>
      </c>
      <c r="H19" s="12" t="s">
        <v>35</v>
      </c>
      <c r="I19" s="11" t="s">
        <v>119</v>
      </c>
      <c r="J19" s="12" t="s">
        <v>120</v>
      </c>
      <c r="K19" s="13" t="s">
        <v>74</v>
      </c>
      <c r="L19" s="11" t="str">
        <f>"000120"</f>
        <v>000120</v>
      </c>
      <c r="M19" s="10">
        <v>42461</v>
      </c>
      <c r="N19" s="11" t="str">
        <f>"000210"</f>
        <v>000210</v>
      </c>
      <c r="O19" s="10">
        <v>42718</v>
      </c>
      <c r="P19" s="11" t="str">
        <f>"000405"</f>
        <v>000405</v>
      </c>
      <c r="Q19" s="10">
        <v>42724</v>
      </c>
      <c r="R19" s="11">
        <v>13</v>
      </c>
      <c r="S19" s="11" t="str">
        <f>"004081"</f>
        <v>004081</v>
      </c>
      <c r="T19" s="10">
        <v>43301</v>
      </c>
      <c r="U19" s="14">
        <v>17.588170000000002</v>
      </c>
      <c r="V19" s="14">
        <v>1.2127300000000001</v>
      </c>
      <c r="W19" s="14">
        <v>16.375440000000001</v>
      </c>
      <c r="X19" s="11">
        <v>139</v>
      </c>
      <c r="Y19" s="10">
        <v>43305</v>
      </c>
      <c r="Z19" s="11">
        <v>9448185327</v>
      </c>
      <c r="AA19" s="12" t="s">
        <v>121</v>
      </c>
      <c r="AB19" s="11" t="s">
        <v>49</v>
      </c>
      <c r="AC19" s="12" t="s">
        <v>50</v>
      </c>
      <c r="AD19" s="11" t="s">
        <v>42</v>
      </c>
      <c r="AE19" s="12" t="s">
        <v>43</v>
      </c>
      <c r="AF19" s="14">
        <v>0.17588170000000003</v>
      </c>
      <c r="AG19" s="11" t="s">
        <v>44</v>
      </c>
    </row>
    <row r="20" spans="1:33" x14ac:dyDescent="0.2">
      <c r="A20" s="8">
        <v>4164</v>
      </c>
      <c r="B20" s="9" t="s">
        <v>88</v>
      </c>
      <c r="C20" s="10">
        <v>43308</v>
      </c>
      <c r="D20" s="11">
        <v>159</v>
      </c>
      <c r="E20" s="12" t="s">
        <v>34</v>
      </c>
      <c r="F20" s="12" t="s">
        <v>34</v>
      </c>
      <c r="G20" s="12" t="s">
        <v>34</v>
      </c>
      <c r="H20" s="12" t="s">
        <v>35</v>
      </c>
      <c r="I20" s="11" t="s">
        <v>122</v>
      </c>
      <c r="J20" s="12" t="s">
        <v>123</v>
      </c>
      <c r="K20" s="13" t="s">
        <v>74</v>
      </c>
      <c r="L20" s="11" t="str">
        <f>"000021"</f>
        <v>000021</v>
      </c>
      <c r="M20" s="10">
        <v>42766</v>
      </c>
      <c r="N20" s="11" t="str">
        <f>"000074"</f>
        <v>000074</v>
      </c>
      <c r="O20" s="10">
        <v>43106</v>
      </c>
      <c r="P20" s="11" t="str">
        <f>"000074"</f>
        <v>000074</v>
      </c>
      <c r="Q20" s="10">
        <v>43106</v>
      </c>
      <c r="R20" s="11">
        <v>16</v>
      </c>
      <c r="S20" s="11" t="str">
        <f>"004801"</f>
        <v>004801</v>
      </c>
      <c r="T20" s="10">
        <v>43315</v>
      </c>
      <c r="U20" s="14">
        <v>1.87273</v>
      </c>
      <c r="V20" s="14">
        <v>0.12422999999999999</v>
      </c>
      <c r="W20" s="14">
        <v>1.7484999999999999</v>
      </c>
      <c r="X20" s="11">
        <v>146</v>
      </c>
      <c r="Y20" s="10">
        <v>43308</v>
      </c>
      <c r="Z20" s="11">
        <v>9845331877</v>
      </c>
      <c r="AA20" s="12" t="s">
        <v>116</v>
      </c>
      <c r="AB20" s="11" t="s">
        <v>117</v>
      </c>
      <c r="AC20" s="12" t="s">
        <v>118</v>
      </c>
      <c r="AD20" s="11" t="s">
        <v>112</v>
      </c>
      <c r="AE20" s="12" t="s">
        <v>113</v>
      </c>
      <c r="AF20" s="14">
        <v>1.8727299999999999E-2</v>
      </c>
      <c r="AG20" s="11" t="s">
        <v>44</v>
      </c>
    </row>
    <row r="21" spans="1:33" x14ac:dyDescent="0.2">
      <c r="A21" s="8">
        <v>4579</v>
      </c>
      <c r="B21" s="9" t="s">
        <v>124</v>
      </c>
      <c r="C21" s="10">
        <v>43318</v>
      </c>
      <c r="D21" s="11">
        <v>159</v>
      </c>
      <c r="E21" s="12" t="s">
        <v>34</v>
      </c>
      <c r="F21" s="12" t="s">
        <v>34</v>
      </c>
      <c r="G21" s="12" t="s">
        <v>34</v>
      </c>
      <c r="H21" s="12" t="s">
        <v>35</v>
      </c>
      <c r="I21" s="11" t="s">
        <v>122</v>
      </c>
      <c r="J21" s="12" t="s">
        <v>123</v>
      </c>
      <c r="K21" s="13" t="s">
        <v>74</v>
      </c>
      <c r="L21" s="11" t="str">
        <f>"000021"</f>
        <v>000021</v>
      </c>
      <c r="M21" s="10">
        <v>42766</v>
      </c>
      <c r="N21" s="11" t="str">
        <f>"000074"</f>
        <v>000074</v>
      </c>
      <c r="O21" s="10">
        <v>43106</v>
      </c>
      <c r="P21" s="11" t="str">
        <f>"000074"</f>
        <v>000074</v>
      </c>
      <c r="Q21" s="10">
        <v>43106</v>
      </c>
      <c r="R21" s="11">
        <v>16</v>
      </c>
      <c r="S21" s="11" t="str">
        <f>"004801"</f>
        <v>004801</v>
      </c>
      <c r="T21" s="10">
        <v>43315</v>
      </c>
      <c r="U21" s="14">
        <v>4.69848</v>
      </c>
      <c r="V21" s="14">
        <v>0.64049</v>
      </c>
      <c r="W21" s="14">
        <v>4.0579900000000002</v>
      </c>
      <c r="X21" s="11">
        <v>157</v>
      </c>
      <c r="Y21" s="10">
        <v>43318</v>
      </c>
      <c r="Z21" s="11">
        <v>9845331877</v>
      </c>
      <c r="AA21" s="12" t="s">
        <v>116</v>
      </c>
      <c r="AB21" s="11" t="s">
        <v>117</v>
      </c>
      <c r="AC21" s="12" t="s">
        <v>118</v>
      </c>
      <c r="AD21" s="11" t="s">
        <v>112</v>
      </c>
      <c r="AE21" s="12" t="s">
        <v>113</v>
      </c>
      <c r="AF21" s="14">
        <v>4.69848E-2</v>
      </c>
      <c r="AG21" s="11" t="s">
        <v>44</v>
      </c>
    </row>
    <row r="22" spans="1:33" x14ac:dyDescent="0.2">
      <c r="A22" s="8">
        <v>4580</v>
      </c>
      <c r="B22" s="9" t="s">
        <v>124</v>
      </c>
      <c r="C22" s="10">
        <v>43318</v>
      </c>
      <c r="D22" s="11">
        <v>159</v>
      </c>
      <c r="E22" s="12" t="s">
        <v>34</v>
      </c>
      <c r="F22" s="12" t="s">
        <v>34</v>
      </c>
      <c r="G22" s="12" t="s">
        <v>34</v>
      </c>
      <c r="H22" s="12" t="s">
        <v>35</v>
      </c>
      <c r="I22" s="11" t="s">
        <v>125</v>
      </c>
      <c r="J22" s="12" t="s">
        <v>126</v>
      </c>
      <c r="K22" s="13" t="s">
        <v>74</v>
      </c>
      <c r="L22" s="11" t="str">
        <f>"000001"</f>
        <v>000001</v>
      </c>
      <c r="M22" s="10">
        <v>42935</v>
      </c>
      <c r="N22" s="11" t="str">
        <f>"000025"</f>
        <v>000025</v>
      </c>
      <c r="O22" s="10">
        <v>43064</v>
      </c>
      <c r="P22" s="11" t="str">
        <f>"000025"</f>
        <v>000025</v>
      </c>
      <c r="Q22" s="10">
        <v>43070</v>
      </c>
      <c r="R22" s="11">
        <v>17</v>
      </c>
      <c r="S22" s="11" t="str">
        <f>"004586"</f>
        <v>004586</v>
      </c>
      <c r="T22" s="10">
        <v>43313</v>
      </c>
      <c r="U22" s="14">
        <v>4.1585700000000001</v>
      </c>
      <c r="V22" s="14">
        <v>0.19822999999999999</v>
      </c>
      <c r="W22" s="14">
        <v>3.96034</v>
      </c>
      <c r="X22" s="11">
        <v>157</v>
      </c>
      <c r="Y22" s="10">
        <v>43318</v>
      </c>
      <c r="Z22" s="11">
        <v>9845004432</v>
      </c>
      <c r="AA22" s="12" t="s">
        <v>127</v>
      </c>
      <c r="AB22" s="11" t="s">
        <v>128</v>
      </c>
      <c r="AC22" s="12" t="s">
        <v>129</v>
      </c>
      <c r="AD22" s="11" t="s">
        <v>112</v>
      </c>
      <c r="AE22" s="12" t="s">
        <v>113</v>
      </c>
      <c r="AF22" s="14">
        <v>4.1585700000000003E-2</v>
      </c>
      <c r="AG22" s="11" t="s">
        <v>44</v>
      </c>
    </row>
    <row r="23" spans="1:33" x14ac:dyDescent="0.2">
      <c r="A23" s="8">
        <v>4581</v>
      </c>
      <c r="B23" s="9" t="s">
        <v>124</v>
      </c>
      <c r="C23" s="10">
        <v>43318</v>
      </c>
      <c r="D23" s="11">
        <v>159</v>
      </c>
      <c r="E23" s="12" t="s">
        <v>34</v>
      </c>
      <c r="F23" s="12" t="s">
        <v>34</v>
      </c>
      <c r="G23" s="12" t="s">
        <v>34</v>
      </c>
      <c r="H23" s="12" t="s">
        <v>35</v>
      </c>
      <c r="I23" s="11" t="s">
        <v>122</v>
      </c>
      <c r="J23" s="12" t="s">
        <v>123</v>
      </c>
      <c r="K23" s="13" t="s">
        <v>74</v>
      </c>
      <c r="L23" s="11" t="str">
        <f>"000021"</f>
        <v>000021</v>
      </c>
      <c r="M23" s="10">
        <v>42766</v>
      </c>
      <c r="N23" s="11" t="str">
        <f>"000074"</f>
        <v>000074</v>
      </c>
      <c r="O23" s="10">
        <v>43106</v>
      </c>
      <c r="P23" s="11" t="str">
        <f>"000074"</f>
        <v>000074</v>
      </c>
      <c r="Q23" s="10">
        <v>43106</v>
      </c>
      <c r="R23" s="11">
        <v>16</v>
      </c>
      <c r="S23" s="11" t="str">
        <f>"004801"</f>
        <v>004801</v>
      </c>
      <c r="T23" s="10">
        <v>43315</v>
      </c>
      <c r="U23" s="14">
        <v>4.6818200000000001</v>
      </c>
      <c r="V23" s="14">
        <v>0.31559999999999999</v>
      </c>
      <c r="W23" s="14">
        <v>4.3662200000000002</v>
      </c>
      <c r="X23" s="11">
        <v>157</v>
      </c>
      <c r="Y23" s="10">
        <v>43318</v>
      </c>
      <c r="Z23" s="11">
        <v>9845331877</v>
      </c>
      <c r="AA23" s="12" t="s">
        <v>116</v>
      </c>
      <c r="AB23" s="11" t="s">
        <v>117</v>
      </c>
      <c r="AC23" s="12" t="s">
        <v>118</v>
      </c>
      <c r="AD23" s="11" t="s">
        <v>112</v>
      </c>
      <c r="AE23" s="12" t="s">
        <v>113</v>
      </c>
      <c r="AF23" s="14">
        <v>4.6818200000000004E-2</v>
      </c>
      <c r="AG23" s="11" t="s">
        <v>44</v>
      </c>
    </row>
    <row r="24" spans="1:33" x14ac:dyDescent="0.2">
      <c r="A24" s="8">
        <v>4582</v>
      </c>
      <c r="B24" s="9" t="s">
        <v>124</v>
      </c>
      <c r="C24" s="10">
        <v>43318</v>
      </c>
      <c r="D24" s="11">
        <v>159</v>
      </c>
      <c r="E24" s="12" t="s">
        <v>34</v>
      </c>
      <c r="F24" s="12" t="s">
        <v>34</v>
      </c>
      <c r="G24" s="12" t="s">
        <v>34</v>
      </c>
      <c r="H24" s="12" t="s">
        <v>35</v>
      </c>
      <c r="I24" s="11" t="s">
        <v>114</v>
      </c>
      <c r="J24" s="12" t="s">
        <v>115</v>
      </c>
      <c r="K24" s="13" t="s">
        <v>74</v>
      </c>
      <c r="L24" s="11" t="str">
        <f>"000015"</f>
        <v>000015</v>
      </c>
      <c r="M24" s="10">
        <v>42766</v>
      </c>
      <c r="N24" s="11" t="str">
        <f>"000127"</f>
        <v>000127</v>
      </c>
      <c r="O24" s="10">
        <v>43190</v>
      </c>
      <c r="P24" s="11" t="str">
        <f>"000127"</f>
        <v>000127</v>
      </c>
      <c r="Q24" s="10">
        <v>43190</v>
      </c>
      <c r="R24" s="11">
        <v>16</v>
      </c>
      <c r="S24" s="11" t="str">
        <f>"004853"</f>
        <v>004853</v>
      </c>
      <c r="T24" s="10">
        <v>43316</v>
      </c>
      <c r="U24" s="14">
        <v>4.3980699999999997</v>
      </c>
      <c r="V24" s="14">
        <v>0.29827999999999999</v>
      </c>
      <c r="W24" s="14">
        <v>4.0997899999999996</v>
      </c>
      <c r="X24" s="11">
        <v>157</v>
      </c>
      <c r="Y24" s="10">
        <v>43318</v>
      </c>
      <c r="Z24" s="11">
        <v>9845331877</v>
      </c>
      <c r="AA24" s="12" t="s">
        <v>116</v>
      </c>
      <c r="AB24" s="11" t="s">
        <v>117</v>
      </c>
      <c r="AC24" s="12" t="s">
        <v>118</v>
      </c>
      <c r="AD24" s="11" t="s">
        <v>112</v>
      </c>
      <c r="AE24" s="12" t="s">
        <v>113</v>
      </c>
      <c r="AF24" s="14">
        <v>4.3980699999999998E-2</v>
      </c>
      <c r="AG24" s="11" t="s">
        <v>44</v>
      </c>
    </row>
    <row r="25" spans="1:33" x14ac:dyDescent="0.2">
      <c r="A25" s="8">
        <v>4583</v>
      </c>
      <c r="B25" s="9" t="s">
        <v>124</v>
      </c>
      <c r="C25" s="10">
        <v>43318</v>
      </c>
      <c r="D25" s="11">
        <v>159</v>
      </c>
      <c r="E25" s="12" t="s">
        <v>34</v>
      </c>
      <c r="F25" s="12" t="s">
        <v>34</v>
      </c>
      <c r="G25" s="12" t="s">
        <v>34</v>
      </c>
      <c r="H25" s="12" t="s">
        <v>35</v>
      </c>
      <c r="I25" s="11" t="s">
        <v>114</v>
      </c>
      <c r="J25" s="12" t="s">
        <v>115</v>
      </c>
      <c r="K25" s="13" t="s">
        <v>74</v>
      </c>
      <c r="L25" s="11" t="str">
        <f>"000015"</f>
        <v>000015</v>
      </c>
      <c r="M25" s="10">
        <v>42766</v>
      </c>
      <c r="N25" s="11" t="str">
        <f>"000127"</f>
        <v>000127</v>
      </c>
      <c r="O25" s="10">
        <v>43190</v>
      </c>
      <c r="P25" s="11" t="str">
        <f>"000127"</f>
        <v>000127</v>
      </c>
      <c r="Q25" s="10">
        <v>43190</v>
      </c>
      <c r="R25" s="11">
        <v>16</v>
      </c>
      <c r="S25" s="11" t="str">
        <f>"004853"</f>
        <v>004853</v>
      </c>
      <c r="T25" s="10">
        <v>43316</v>
      </c>
      <c r="U25" s="14">
        <v>1.7592300000000001</v>
      </c>
      <c r="V25" s="14">
        <v>0.1173</v>
      </c>
      <c r="W25" s="14">
        <v>1.6419299999999999</v>
      </c>
      <c r="X25" s="11">
        <v>157</v>
      </c>
      <c r="Y25" s="10">
        <v>43318</v>
      </c>
      <c r="Z25" s="11">
        <v>9845331877</v>
      </c>
      <c r="AA25" s="12" t="s">
        <v>116</v>
      </c>
      <c r="AB25" s="11" t="s">
        <v>117</v>
      </c>
      <c r="AC25" s="12" t="s">
        <v>118</v>
      </c>
      <c r="AD25" s="11" t="s">
        <v>112</v>
      </c>
      <c r="AE25" s="12" t="s">
        <v>113</v>
      </c>
      <c r="AF25" s="14">
        <v>1.7592300000000002E-2</v>
      </c>
      <c r="AG25" s="11" t="s">
        <v>44</v>
      </c>
    </row>
    <row r="26" spans="1:33" x14ac:dyDescent="0.2">
      <c r="A26" s="8">
        <v>4689</v>
      </c>
      <c r="B26" s="9" t="s">
        <v>124</v>
      </c>
      <c r="C26" s="10">
        <v>43325</v>
      </c>
      <c r="D26" s="11">
        <v>159</v>
      </c>
      <c r="E26" s="12" t="s">
        <v>34</v>
      </c>
      <c r="F26" s="12" t="s">
        <v>34</v>
      </c>
      <c r="G26" s="12" t="s">
        <v>34</v>
      </c>
      <c r="H26" s="12" t="s">
        <v>35</v>
      </c>
      <c r="I26" s="11" t="s">
        <v>130</v>
      </c>
      <c r="J26" s="12" t="s">
        <v>131</v>
      </c>
      <c r="K26" s="13" t="s">
        <v>74</v>
      </c>
      <c r="L26" s="11" t="str">
        <f>"000418"</f>
        <v>000418</v>
      </c>
      <c r="M26" s="10">
        <v>43185</v>
      </c>
      <c r="N26" s="11" t="str">
        <f>"000165"</f>
        <v>000165</v>
      </c>
      <c r="O26" s="10">
        <v>43289</v>
      </c>
      <c r="P26" s="11" t="str">
        <f>"000256"</f>
        <v>000256</v>
      </c>
      <c r="Q26" s="10">
        <v>43293</v>
      </c>
      <c r="R26" s="11">
        <v>18</v>
      </c>
      <c r="S26" s="11" t="str">
        <f>"004297"</f>
        <v>004297</v>
      </c>
      <c r="T26" s="10">
        <v>43306</v>
      </c>
      <c r="U26" s="14">
        <v>24.480879999999999</v>
      </c>
      <c r="V26" s="14">
        <v>2.20994</v>
      </c>
      <c r="W26" s="14">
        <v>22.27094</v>
      </c>
      <c r="X26" s="11">
        <v>166</v>
      </c>
      <c r="Y26" s="10">
        <v>43325</v>
      </c>
      <c r="Z26" s="11">
        <v>9845235505</v>
      </c>
      <c r="AA26" s="12" t="s">
        <v>132</v>
      </c>
      <c r="AB26" s="11" t="s">
        <v>133</v>
      </c>
      <c r="AC26" s="12" t="s">
        <v>134</v>
      </c>
      <c r="AD26" s="11" t="s">
        <v>42</v>
      </c>
      <c r="AE26" s="12" t="s">
        <v>43</v>
      </c>
      <c r="AF26" s="14">
        <v>0.24480879999999999</v>
      </c>
      <c r="AG26" s="11" t="s">
        <v>65</v>
      </c>
    </row>
    <row r="27" spans="1:33" x14ac:dyDescent="0.2">
      <c r="A27" s="8">
        <v>4690</v>
      </c>
      <c r="B27" s="9" t="s">
        <v>124</v>
      </c>
      <c r="C27" s="10">
        <v>43325</v>
      </c>
      <c r="D27" s="11">
        <v>159</v>
      </c>
      <c r="E27" s="12" t="s">
        <v>34</v>
      </c>
      <c r="F27" s="12" t="s">
        <v>34</v>
      </c>
      <c r="G27" s="12" t="s">
        <v>34</v>
      </c>
      <c r="H27" s="12" t="s">
        <v>35</v>
      </c>
      <c r="I27" s="11" t="s">
        <v>135</v>
      </c>
      <c r="J27" s="12" t="s">
        <v>136</v>
      </c>
      <c r="K27" s="13" t="s">
        <v>47</v>
      </c>
      <c r="L27" s="11" t="str">
        <f>"000417"</f>
        <v>000417</v>
      </c>
      <c r="M27" s="10">
        <v>43185</v>
      </c>
      <c r="N27" s="11" t="str">
        <f>"000163"</f>
        <v>000163</v>
      </c>
      <c r="O27" s="10">
        <v>43289</v>
      </c>
      <c r="P27" s="11" t="str">
        <f>"000253"</f>
        <v>000253</v>
      </c>
      <c r="Q27" s="10">
        <v>43293</v>
      </c>
      <c r="R27" s="11">
        <v>18</v>
      </c>
      <c r="S27" s="11" t="str">
        <f>"004299"</f>
        <v>004299</v>
      </c>
      <c r="T27" s="10">
        <v>43306</v>
      </c>
      <c r="U27" s="14">
        <v>27.3933</v>
      </c>
      <c r="V27" s="14">
        <v>2.4718399999999998</v>
      </c>
      <c r="W27" s="14">
        <v>24.92146</v>
      </c>
      <c r="X27" s="11">
        <v>166</v>
      </c>
      <c r="Y27" s="10">
        <v>43325</v>
      </c>
      <c r="Z27" s="11">
        <v>9845235505</v>
      </c>
      <c r="AA27" s="12" t="s">
        <v>132</v>
      </c>
      <c r="AB27" s="11" t="s">
        <v>133</v>
      </c>
      <c r="AC27" s="12" t="s">
        <v>134</v>
      </c>
      <c r="AD27" s="11" t="s">
        <v>42</v>
      </c>
      <c r="AE27" s="12" t="s">
        <v>43</v>
      </c>
      <c r="AF27" s="14">
        <v>0.27393299999999998</v>
      </c>
      <c r="AG27" s="11" t="s">
        <v>65</v>
      </c>
    </row>
    <row r="28" spans="1:33" x14ac:dyDescent="0.2">
      <c r="A28" s="8">
        <v>5112</v>
      </c>
      <c r="B28" s="9" t="s">
        <v>124</v>
      </c>
      <c r="C28" s="10">
        <v>43337</v>
      </c>
      <c r="D28" s="11">
        <v>159</v>
      </c>
      <c r="E28" s="12" t="s">
        <v>34</v>
      </c>
      <c r="F28" s="12" t="s">
        <v>34</v>
      </c>
      <c r="G28" s="12" t="s">
        <v>34</v>
      </c>
      <c r="H28" s="12" t="s">
        <v>35</v>
      </c>
      <c r="I28" s="11" t="s">
        <v>137</v>
      </c>
      <c r="J28" s="12" t="s">
        <v>138</v>
      </c>
      <c r="K28" s="13" t="s">
        <v>47</v>
      </c>
      <c r="L28" s="11" t="str">
        <f>"000419"</f>
        <v>000419</v>
      </c>
      <c r="M28" s="10">
        <v>43185</v>
      </c>
      <c r="N28" s="11" t="str">
        <f>"000164"</f>
        <v>000164</v>
      </c>
      <c r="O28" s="10">
        <v>43289</v>
      </c>
      <c r="P28" s="11" t="str">
        <f>"000254"</f>
        <v>000254</v>
      </c>
      <c r="Q28" s="10">
        <v>43293</v>
      </c>
      <c r="R28" s="11">
        <v>18</v>
      </c>
      <c r="S28" s="11" t="str">
        <f>"005210"</f>
        <v>005210</v>
      </c>
      <c r="T28" s="10">
        <v>43326</v>
      </c>
      <c r="U28" s="14">
        <v>27.41583</v>
      </c>
      <c r="V28" s="14">
        <v>2.4806599999999999</v>
      </c>
      <c r="W28" s="14">
        <v>24.935169999999999</v>
      </c>
      <c r="X28" s="11">
        <v>181</v>
      </c>
      <c r="Y28" s="10">
        <v>43337</v>
      </c>
      <c r="Z28" s="11">
        <v>9845235505</v>
      </c>
      <c r="AA28" s="12" t="s">
        <v>132</v>
      </c>
      <c r="AB28" s="11" t="s">
        <v>133</v>
      </c>
      <c r="AC28" s="12" t="s">
        <v>134</v>
      </c>
      <c r="AD28" s="11" t="s">
        <v>42</v>
      </c>
      <c r="AE28" s="12" t="s">
        <v>43</v>
      </c>
      <c r="AF28" s="14">
        <v>0.27415830000000002</v>
      </c>
      <c r="AG28" s="11" t="s">
        <v>65</v>
      </c>
    </row>
    <row r="29" spans="1:33" x14ac:dyDescent="0.2">
      <c r="A29" s="8">
        <v>5113</v>
      </c>
      <c r="B29" s="9" t="s">
        <v>124</v>
      </c>
      <c r="C29" s="10">
        <v>43337</v>
      </c>
      <c r="D29" s="11">
        <v>159</v>
      </c>
      <c r="E29" s="12" t="s">
        <v>34</v>
      </c>
      <c r="F29" s="12" t="s">
        <v>34</v>
      </c>
      <c r="G29" s="12" t="s">
        <v>34</v>
      </c>
      <c r="H29" s="12" t="s">
        <v>35</v>
      </c>
      <c r="I29" s="11" t="s">
        <v>139</v>
      </c>
      <c r="J29" s="12" t="s">
        <v>140</v>
      </c>
      <c r="K29" s="13" t="s">
        <v>47</v>
      </c>
      <c r="L29" s="11" t="str">
        <f>"000420"</f>
        <v>000420</v>
      </c>
      <c r="M29" s="10">
        <v>43185</v>
      </c>
      <c r="N29" s="11" t="str">
        <f>"000162"</f>
        <v>000162</v>
      </c>
      <c r="O29" s="10">
        <v>43289</v>
      </c>
      <c r="P29" s="11" t="str">
        <f>"000255"</f>
        <v>000255</v>
      </c>
      <c r="Q29" s="10">
        <v>43293</v>
      </c>
      <c r="R29" s="11">
        <v>18</v>
      </c>
      <c r="S29" s="11" t="str">
        <f>"005245"</f>
        <v>005245</v>
      </c>
      <c r="T29" s="10">
        <v>43326</v>
      </c>
      <c r="U29" s="14">
        <v>18.586819999999999</v>
      </c>
      <c r="V29" s="14">
        <v>1.6785099999999999</v>
      </c>
      <c r="W29" s="14">
        <v>16.90831</v>
      </c>
      <c r="X29" s="11">
        <v>181</v>
      </c>
      <c r="Y29" s="10">
        <v>43337</v>
      </c>
      <c r="Z29" s="11">
        <v>9845235505</v>
      </c>
      <c r="AA29" s="12" t="s">
        <v>132</v>
      </c>
      <c r="AB29" s="11" t="s">
        <v>133</v>
      </c>
      <c r="AC29" s="12" t="s">
        <v>134</v>
      </c>
      <c r="AD29" s="11" t="s">
        <v>42</v>
      </c>
      <c r="AE29" s="12" t="s">
        <v>43</v>
      </c>
      <c r="AF29" s="14">
        <v>0.18586819999999998</v>
      </c>
      <c r="AG29" s="11" t="s">
        <v>65</v>
      </c>
    </row>
    <row r="30" spans="1:33" x14ac:dyDescent="0.2">
      <c r="A30" s="8">
        <v>5324</v>
      </c>
      <c r="B30" s="9" t="s">
        <v>141</v>
      </c>
      <c r="C30" s="10">
        <v>43346</v>
      </c>
      <c r="D30" s="11">
        <v>159</v>
      </c>
      <c r="E30" s="12" t="s">
        <v>34</v>
      </c>
      <c r="F30" s="12" t="s">
        <v>34</v>
      </c>
      <c r="G30" s="12" t="s">
        <v>34</v>
      </c>
      <c r="H30" s="12" t="s">
        <v>35</v>
      </c>
      <c r="I30" s="11" t="s">
        <v>142</v>
      </c>
      <c r="J30" s="12" t="s">
        <v>143</v>
      </c>
      <c r="K30" s="13" t="s">
        <v>105</v>
      </c>
      <c r="L30" s="11" t="str">
        <f>"000007"</f>
        <v>000007</v>
      </c>
      <c r="M30" s="10">
        <v>42992</v>
      </c>
      <c r="N30" s="11" t="str">
        <f>"333354"</f>
        <v>333354</v>
      </c>
      <c r="O30" s="10">
        <v>43066</v>
      </c>
      <c r="P30" s="11" t="str">
        <f>"000245"</f>
        <v>000245</v>
      </c>
      <c r="Q30" s="10">
        <v>43066</v>
      </c>
      <c r="R30" s="11">
        <v>17</v>
      </c>
      <c r="S30" s="11" t="str">
        <f>"005546"</f>
        <v>005546</v>
      </c>
      <c r="T30" s="10">
        <v>43341</v>
      </c>
      <c r="U30" s="14">
        <v>99.995249999999999</v>
      </c>
      <c r="V30" s="14">
        <v>8.7045999999999992</v>
      </c>
      <c r="W30" s="14">
        <v>91.290649999999999</v>
      </c>
      <c r="X30" s="11">
        <v>191</v>
      </c>
      <c r="Y30" s="10">
        <v>43346</v>
      </c>
      <c r="Z30" s="11">
        <v>9845235505</v>
      </c>
      <c r="AA30" s="12" t="s">
        <v>106</v>
      </c>
      <c r="AB30" s="11" t="s">
        <v>144</v>
      </c>
      <c r="AC30" s="12" t="s">
        <v>145</v>
      </c>
      <c r="AD30" s="11" t="s">
        <v>42</v>
      </c>
      <c r="AE30" s="12" t="s">
        <v>43</v>
      </c>
      <c r="AF30" s="14">
        <f t="shared" ref="AF30:AF62" si="0">U30/100</f>
        <v>0.99995250000000002</v>
      </c>
      <c r="AG30" s="11" t="s">
        <v>44</v>
      </c>
    </row>
    <row r="31" spans="1:33" x14ac:dyDescent="0.2">
      <c r="A31" s="8">
        <v>5734</v>
      </c>
      <c r="B31" s="9" t="s">
        <v>141</v>
      </c>
      <c r="C31" s="10">
        <v>43370</v>
      </c>
      <c r="D31" s="11">
        <v>159</v>
      </c>
      <c r="E31" s="12" t="s">
        <v>34</v>
      </c>
      <c r="F31" s="12" t="s">
        <v>34</v>
      </c>
      <c r="G31" s="12" t="s">
        <v>34</v>
      </c>
      <c r="H31" s="12" t="s">
        <v>35</v>
      </c>
      <c r="I31" s="11" t="s">
        <v>146</v>
      </c>
      <c r="J31" s="12" t="s">
        <v>147</v>
      </c>
      <c r="K31" s="13" t="s">
        <v>105</v>
      </c>
      <c r="L31" s="11" t="str">
        <f>"000049"</f>
        <v>000049</v>
      </c>
      <c r="M31" s="10">
        <v>42845</v>
      </c>
      <c r="N31" s="11" t="str">
        <f>"333365"</f>
        <v>333365</v>
      </c>
      <c r="O31" s="10">
        <v>43095</v>
      </c>
      <c r="P31" s="11" t="str">
        <f>"000316"</f>
        <v>000316</v>
      </c>
      <c r="Q31" s="10">
        <v>43105</v>
      </c>
      <c r="R31" s="11">
        <v>17</v>
      </c>
      <c r="S31" s="11" t="str">
        <f>"005965"</f>
        <v>005965</v>
      </c>
      <c r="T31" s="10">
        <v>43368</v>
      </c>
      <c r="U31" s="14">
        <v>4.98766</v>
      </c>
      <c r="V31" s="14">
        <v>0.60350999999999999</v>
      </c>
      <c r="W31" s="14">
        <v>4.38415</v>
      </c>
      <c r="X31" s="11">
        <v>218</v>
      </c>
      <c r="Y31" s="10">
        <v>43370</v>
      </c>
      <c r="Z31" s="11">
        <v>9845235505</v>
      </c>
      <c r="AA31" s="12" t="s">
        <v>39</v>
      </c>
      <c r="AB31" s="11" t="s">
        <v>148</v>
      </c>
      <c r="AC31" s="12" t="s">
        <v>149</v>
      </c>
      <c r="AD31" s="11" t="s">
        <v>42</v>
      </c>
      <c r="AE31" s="12" t="s">
        <v>43</v>
      </c>
      <c r="AF31" s="14">
        <f t="shared" si="0"/>
        <v>4.98766E-2</v>
      </c>
      <c r="AG31" s="11" t="s">
        <v>44</v>
      </c>
    </row>
    <row r="32" spans="1:33" x14ac:dyDescent="0.2">
      <c r="A32" s="8">
        <v>5735</v>
      </c>
      <c r="B32" s="9" t="s">
        <v>141</v>
      </c>
      <c r="C32" s="10">
        <v>43370</v>
      </c>
      <c r="D32" s="11">
        <v>159</v>
      </c>
      <c r="E32" s="12" t="s">
        <v>34</v>
      </c>
      <c r="F32" s="12" t="s">
        <v>34</v>
      </c>
      <c r="G32" s="12" t="s">
        <v>34</v>
      </c>
      <c r="H32" s="12" t="s">
        <v>35</v>
      </c>
      <c r="I32" s="11" t="s">
        <v>150</v>
      </c>
      <c r="J32" s="12" t="s">
        <v>151</v>
      </c>
      <c r="K32" s="13" t="s">
        <v>152</v>
      </c>
      <c r="L32" s="11" t="str">
        <f>"000051"</f>
        <v>000051</v>
      </c>
      <c r="M32" s="10">
        <v>42845</v>
      </c>
      <c r="N32" s="11" t="str">
        <f>"333358"</f>
        <v>333358</v>
      </c>
      <c r="O32" s="10">
        <v>43083</v>
      </c>
      <c r="P32" s="11" t="str">
        <f>"000317"</f>
        <v>000317</v>
      </c>
      <c r="Q32" s="10">
        <v>43105</v>
      </c>
      <c r="R32" s="11">
        <v>17</v>
      </c>
      <c r="S32" s="11" t="str">
        <f>"005966"</f>
        <v>005966</v>
      </c>
      <c r="T32" s="10">
        <v>43368</v>
      </c>
      <c r="U32" s="14">
        <v>7.9872899999999998</v>
      </c>
      <c r="V32" s="14">
        <v>0.56710000000000005</v>
      </c>
      <c r="W32" s="14">
        <v>7.4201899999999998</v>
      </c>
      <c r="X32" s="11">
        <v>218</v>
      </c>
      <c r="Y32" s="10">
        <v>43370</v>
      </c>
      <c r="Z32" s="11">
        <v>9845235505</v>
      </c>
      <c r="AA32" s="12" t="s">
        <v>106</v>
      </c>
      <c r="AB32" s="11" t="s">
        <v>148</v>
      </c>
      <c r="AC32" s="12" t="s">
        <v>149</v>
      </c>
      <c r="AD32" s="11" t="s">
        <v>42</v>
      </c>
      <c r="AE32" s="12" t="s">
        <v>43</v>
      </c>
      <c r="AF32" s="14">
        <f t="shared" si="0"/>
        <v>7.9872899999999997E-2</v>
      </c>
      <c r="AG32" s="11" t="s">
        <v>44</v>
      </c>
    </row>
    <row r="33" spans="1:33" x14ac:dyDescent="0.2">
      <c r="A33" s="8">
        <v>6243</v>
      </c>
      <c r="B33" s="9" t="s">
        <v>153</v>
      </c>
      <c r="C33" s="10">
        <v>43385</v>
      </c>
      <c r="D33" s="11">
        <v>159</v>
      </c>
      <c r="E33" s="12" t="s">
        <v>34</v>
      </c>
      <c r="F33" s="12" t="s">
        <v>34</v>
      </c>
      <c r="G33" s="12" t="s">
        <v>34</v>
      </c>
      <c r="H33" s="12" t="s">
        <v>35</v>
      </c>
      <c r="I33" s="11" t="s">
        <v>154</v>
      </c>
      <c r="J33" s="12" t="s">
        <v>155</v>
      </c>
      <c r="K33" s="13" t="s">
        <v>47</v>
      </c>
      <c r="L33" s="11" t="str">
        <f>"000169"</f>
        <v>000169</v>
      </c>
      <c r="M33" s="10">
        <v>43269</v>
      </c>
      <c r="N33" s="11" t="str">
        <f>"000172"</f>
        <v>000172</v>
      </c>
      <c r="O33" s="10">
        <v>43297</v>
      </c>
      <c r="P33" s="11" t="str">
        <f>"000262"</f>
        <v>000262</v>
      </c>
      <c r="Q33" s="10">
        <v>43300</v>
      </c>
      <c r="R33" s="11">
        <v>18</v>
      </c>
      <c r="S33" s="11" t="str">
        <f>"006293"</f>
        <v>006293</v>
      </c>
      <c r="T33" s="10">
        <v>43380</v>
      </c>
      <c r="U33" s="14">
        <v>49.955260000000003</v>
      </c>
      <c r="V33" s="14">
        <v>4.4093799999999996</v>
      </c>
      <c r="W33" s="14">
        <v>45.545879999999997</v>
      </c>
      <c r="X33" s="11">
        <v>228</v>
      </c>
      <c r="Y33" s="10">
        <v>43385</v>
      </c>
      <c r="Z33" s="11">
        <v>9845235505</v>
      </c>
      <c r="AA33" s="12" t="s">
        <v>132</v>
      </c>
      <c r="AB33" s="11" t="s">
        <v>156</v>
      </c>
      <c r="AC33" s="12" t="s">
        <v>157</v>
      </c>
      <c r="AD33" s="11" t="s">
        <v>42</v>
      </c>
      <c r="AE33" s="12" t="s">
        <v>43</v>
      </c>
      <c r="AF33" s="14">
        <f t="shared" si="0"/>
        <v>0.49955260000000001</v>
      </c>
      <c r="AG33" s="11" t="s">
        <v>158</v>
      </c>
    </row>
    <row r="34" spans="1:33" x14ac:dyDescent="0.2">
      <c r="A34" s="8">
        <v>6244</v>
      </c>
      <c r="B34" s="9" t="s">
        <v>153</v>
      </c>
      <c r="C34" s="10">
        <v>43385</v>
      </c>
      <c r="D34" s="11">
        <v>159</v>
      </c>
      <c r="E34" s="12" t="s">
        <v>34</v>
      </c>
      <c r="F34" s="12" t="s">
        <v>34</v>
      </c>
      <c r="G34" s="12" t="s">
        <v>34</v>
      </c>
      <c r="H34" s="12" t="s">
        <v>35</v>
      </c>
      <c r="I34" s="11" t="s">
        <v>159</v>
      </c>
      <c r="J34" s="12" t="s">
        <v>160</v>
      </c>
      <c r="K34" s="13" t="s">
        <v>47</v>
      </c>
      <c r="L34" s="11" t="str">
        <f>"000168"</f>
        <v>000168</v>
      </c>
      <c r="M34" s="10">
        <v>43269</v>
      </c>
      <c r="N34" s="11" t="str">
        <f>"000173"</f>
        <v>000173</v>
      </c>
      <c r="O34" s="10">
        <v>43297</v>
      </c>
      <c r="P34" s="11" t="str">
        <f>"000263"</f>
        <v>000263</v>
      </c>
      <c r="Q34" s="10">
        <v>43300</v>
      </c>
      <c r="R34" s="11">
        <v>18</v>
      </c>
      <c r="S34" s="11" t="str">
        <f>"006294"</f>
        <v>006294</v>
      </c>
      <c r="T34" s="10">
        <v>43380</v>
      </c>
      <c r="U34" s="14">
        <v>49.953969999999998</v>
      </c>
      <c r="V34" s="14">
        <v>4.3442400000000001</v>
      </c>
      <c r="W34" s="14">
        <v>45.609729999999999</v>
      </c>
      <c r="X34" s="11">
        <v>228</v>
      </c>
      <c r="Y34" s="10">
        <v>43385</v>
      </c>
      <c r="Z34" s="11">
        <v>9845235505</v>
      </c>
      <c r="AA34" s="12" t="s">
        <v>132</v>
      </c>
      <c r="AB34" s="11" t="s">
        <v>156</v>
      </c>
      <c r="AC34" s="12" t="s">
        <v>157</v>
      </c>
      <c r="AD34" s="11" t="s">
        <v>42</v>
      </c>
      <c r="AE34" s="12" t="s">
        <v>43</v>
      </c>
      <c r="AF34" s="14">
        <f t="shared" si="0"/>
        <v>0.49953969999999998</v>
      </c>
      <c r="AG34" s="11" t="s">
        <v>158</v>
      </c>
    </row>
    <row r="35" spans="1:33" x14ac:dyDescent="0.2">
      <c r="A35" s="8">
        <v>6245</v>
      </c>
      <c r="B35" s="9" t="s">
        <v>153</v>
      </c>
      <c r="C35" s="10">
        <v>43385</v>
      </c>
      <c r="D35" s="11">
        <v>159</v>
      </c>
      <c r="E35" s="12" t="s">
        <v>34</v>
      </c>
      <c r="F35" s="12" t="s">
        <v>34</v>
      </c>
      <c r="G35" s="12" t="s">
        <v>34</v>
      </c>
      <c r="H35" s="12" t="s">
        <v>35</v>
      </c>
      <c r="I35" s="11" t="s">
        <v>161</v>
      </c>
      <c r="J35" s="12" t="s">
        <v>162</v>
      </c>
      <c r="K35" s="13" t="s">
        <v>47</v>
      </c>
      <c r="L35" s="11" t="str">
        <f>"000171"</f>
        <v>000171</v>
      </c>
      <c r="M35" s="10">
        <v>43269</v>
      </c>
      <c r="N35" s="11" t="str">
        <f>"000169"</f>
        <v>000169</v>
      </c>
      <c r="O35" s="10">
        <v>43297</v>
      </c>
      <c r="P35" s="11" t="str">
        <f>"000264"</f>
        <v>000264</v>
      </c>
      <c r="Q35" s="10">
        <v>43300</v>
      </c>
      <c r="R35" s="11">
        <v>18</v>
      </c>
      <c r="S35" s="11" t="str">
        <f>"006295"</f>
        <v>006295</v>
      </c>
      <c r="T35" s="10">
        <v>43380</v>
      </c>
      <c r="U35" s="14">
        <v>49.952710000000003</v>
      </c>
      <c r="V35" s="14">
        <v>4.3941499999999998</v>
      </c>
      <c r="W35" s="14">
        <v>45.55856</v>
      </c>
      <c r="X35" s="11">
        <v>228</v>
      </c>
      <c r="Y35" s="10">
        <v>43385</v>
      </c>
      <c r="Z35" s="11">
        <v>9845235505</v>
      </c>
      <c r="AA35" s="12" t="s">
        <v>132</v>
      </c>
      <c r="AB35" s="11" t="s">
        <v>156</v>
      </c>
      <c r="AC35" s="12" t="s">
        <v>157</v>
      </c>
      <c r="AD35" s="11" t="s">
        <v>42</v>
      </c>
      <c r="AE35" s="12" t="s">
        <v>43</v>
      </c>
      <c r="AF35" s="14">
        <f t="shared" si="0"/>
        <v>0.49952710000000006</v>
      </c>
      <c r="AG35" s="11" t="s">
        <v>158</v>
      </c>
    </row>
    <row r="36" spans="1:33" x14ac:dyDescent="0.2">
      <c r="A36" s="8">
        <v>6246</v>
      </c>
      <c r="B36" s="9" t="s">
        <v>153</v>
      </c>
      <c r="C36" s="10">
        <v>43385</v>
      </c>
      <c r="D36" s="11">
        <v>159</v>
      </c>
      <c r="E36" s="12" t="s">
        <v>34</v>
      </c>
      <c r="F36" s="12" t="s">
        <v>34</v>
      </c>
      <c r="G36" s="12" t="s">
        <v>34</v>
      </c>
      <c r="H36" s="12" t="s">
        <v>35</v>
      </c>
      <c r="I36" s="11" t="s">
        <v>163</v>
      </c>
      <c r="J36" s="12" t="s">
        <v>164</v>
      </c>
      <c r="K36" s="13" t="s">
        <v>47</v>
      </c>
      <c r="L36" s="11" t="str">
        <f>"000167"</f>
        <v>000167</v>
      </c>
      <c r="M36" s="10">
        <v>43269</v>
      </c>
      <c r="N36" s="11" t="str">
        <f>"000170"</f>
        <v>000170</v>
      </c>
      <c r="O36" s="10">
        <v>43297</v>
      </c>
      <c r="P36" s="11" t="str">
        <f>"000265"</f>
        <v>000265</v>
      </c>
      <c r="Q36" s="10">
        <v>43300</v>
      </c>
      <c r="R36" s="11">
        <v>18</v>
      </c>
      <c r="S36" s="11" t="str">
        <f>"006296"</f>
        <v>006296</v>
      </c>
      <c r="T36" s="10">
        <v>43380</v>
      </c>
      <c r="U36" s="14">
        <v>49.955260000000003</v>
      </c>
      <c r="V36" s="14">
        <v>4.3913799999999998</v>
      </c>
      <c r="W36" s="14">
        <v>45.563879999999997</v>
      </c>
      <c r="X36" s="11">
        <v>228</v>
      </c>
      <c r="Y36" s="10">
        <v>43385</v>
      </c>
      <c r="Z36" s="11">
        <v>9845235505</v>
      </c>
      <c r="AA36" s="12" t="s">
        <v>132</v>
      </c>
      <c r="AB36" s="11" t="s">
        <v>156</v>
      </c>
      <c r="AC36" s="12" t="s">
        <v>157</v>
      </c>
      <c r="AD36" s="11" t="s">
        <v>42</v>
      </c>
      <c r="AE36" s="12" t="s">
        <v>43</v>
      </c>
      <c r="AF36" s="14">
        <f t="shared" si="0"/>
        <v>0.49955260000000001</v>
      </c>
      <c r="AG36" s="11" t="s">
        <v>158</v>
      </c>
    </row>
    <row r="37" spans="1:33" x14ac:dyDescent="0.2">
      <c r="A37" s="8">
        <v>6247</v>
      </c>
      <c r="B37" s="9" t="s">
        <v>153</v>
      </c>
      <c r="C37" s="10">
        <v>43385</v>
      </c>
      <c r="D37" s="11">
        <v>159</v>
      </c>
      <c r="E37" s="12" t="s">
        <v>34</v>
      </c>
      <c r="F37" s="12" t="s">
        <v>34</v>
      </c>
      <c r="G37" s="12" t="s">
        <v>34</v>
      </c>
      <c r="H37" s="12" t="s">
        <v>35</v>
      </c>
      <c r="I37" s="11" t="s">
        <v>165</v>
      </c>
      <c r="J37" s="12" t="s">
        <v>166</v>
      </c>
      <c r="K37" s="13" t="s">
        <v>47</v>
      </c>
      <c r="L37" s="11" t="str">
        <f>"000166"</f>
        <v>000166</v>
      </c>
      <c r="M37" s="10">
        <v>43269</v>
      </c>
      <c r="N37" s="11" t="str">
        <f>"000171"</f>
        <v>000171</v>
      </c>
      <c r="O37" s="10">
        <v>43297</v>
      </c>
      <c r="P37" s="11" t="str">
        <f>"000266"</f>
        <v>000266</v>
      </c>
      <c r="Q37" s="10">
        <v>43300</v>
      </c>
      <c r="R37" s="11">
        <v>18</v>
      </c>
      <c r="S37" s="11" t="str">
        <f>"006297"</f>
        <v>006297</v>
      </c>
      <c r="T37" s="10">
        <v>43380</v>
      </c>
      <c r="U37" s="14">
        <v>49.955829999999999</v>
      </c>
      <c r="V37" s="14">
        <v>4.3844000000000003</v>
      </c>
      <c r="W37" s="14">
        <v>45.571429999999999</v>
      </c>
      <c r="X37" s="11">
        <v>228</v>
      </c>
      <c r="Y37" s="10">
        <v>43385</v>
      </c>
      <c r="Z37" s="11">
        <v>9845235505</v>
      </c>
      <c r="AA37" s="12" t="s">
        <v>132</v>
      </c>
      <c r="AB37" s="11" t="s">
        <v>156</v>
      </c>
      <c r="AC37" s="12" t="s">
        <v>157</v>
      </c>
      <c r="AD37" s="11" t="s">
        <v>42</v>
      </c>
      <c r="AE37" s="12" t="s">
        <v>43</v>
      </c>
      <c r="AF37" s="14">
        <f t="shared" si="0"/>
        <v>0.49955830000000001</v>
      </c>
      <c r="AG37" s="11" t="s">
        <v>158</v>
      </c>
    </row>
    <row r="38" spans="1:33" x14ac:dyDescent="0.2">
      <c r="A38" s="8">
        <v>6248</v>
      </c>
      <c r="B38" s="9" t="s">
        <v>153</v>
      </c>
      <c r="C38" s="10">
        <v>43385</v>
      </c>
      <c r="D38" s="11">
        <v>159</v>
      </c>
      <c r="E38" s="12" t="s">
        <v>34</v>
      </c>
      <c r="F38" s="12" t="s">
        <v>34</v>
      </c>
      <c r="G38" s="12" t="s">
        <v>34</v>
      </c>
      <c r="H38" s="12" t="s">
        <v>35</v>
      </c>
      <c r="I38" s="11" t="s">
        <v>154</v>
      </c>
      <c r="J38" s="12" t="s">
        <v>155</v>
      </c>
      <c r="K38" s="13" t="s">
        <v>47</v>
      </c>
      <c r="L38" s="11" t="str">
        <f>"000169"</f>
        <v>000169</v>
      </c>
      <c r="M38" s="10">
        <v>43269</v>
      </c>
      <c r="N38" s="11" t="str">
        <f>"000172"</f>
        <v>000172</v>
      </c>
      <c r="O38" s="10">
        <v>43297</v>
      </c>
      <c r="P38" s="11" t="str">
        <f>"000262"</f>
        <v>000262</v>
      </c>
      <c r="Q38" s="10">
        <v>43300</v>
      </c>
      <c r="R38" s="11">
        <v>18</v>
      </c>
      <c r="S38" s="11" t="str">
        <f>"006293"</f>
        <v>006293</v>
      </c>
      <c r="T38" s="10">
        <v>43380</v>
      </c>
      <c r="U38" s="14">
        <v>49.955260000000003</v>
      </c>
      <c r="V38" s="14">
        <v>4.4093799999999996</v>
      </c>
      <c r="W38" s="14">
        <v>45.545879999999997</v>
      </c>
      <c r="X38" s="11">
        <v>228</v>
      </c>
      <c r="Y38" s="10">
        <v>43385</v>
      </c>
      <c r="Z38" s="11">
        <v>9845235505</v>
      </c>
      <c r="AA38" s="12" t="s">
        <v>132</v>
      </c>
      <c r="AB38" s="11" t="s">
        <v>156</v>
      </c>
      <c r="AC38" s="12" t="s">
        <v>157</v>
      </c>
      <c r="AD38" s="11" t="s">
        <v>42</v>
      </c>
      <c r="AE38" s="12" t="s">
        <v>43</v>
      </c>
      <c r="AF38" s="14">
        <f t="shared" si="0"/>
        <v>0.49955260000000001</v>
      </c>
      <c r="AG38" s="11" t="s">
        <v>158</v>
      </c>
    </row>
    <row r="39" spans="1:33" x14ac:dyDescent="0.2">
      <c r="A39" s="8">
        <v>6249</v>
      </c>
      <c r="B39" s="9" t="s">
        <v>153</v>
      </c>
      <c r="C39" s="10">
        <v>43385</v>
      </c>
      <c r="D39" s="11">
        <v>159</v>
      </c>
      <c r="E39" s="12" t="s">
        <v>34</v>
      </c>
      <c r="F39" s="12" t="s">
        <v>34</v>
      </c>
      <c r="G39" s="12" t="s">
        <v>34</v>
      </c>
      <c r="H39" s="12" t="s">
        <v>35</v>
      </c>
      <c r="I39" s="11" t="s">
        <v>159</v>
      </c>
      <c r="J39" s="12" t="s">
        <v>160</v>
      </c>
      <c r="K39" s="13" t="s">
        <v>47</v>
      </c>
      <c r="L39" s="11" t="str">
        <f>"000168"</f>
        <v>000168</v>
      </c>
      <c r="M39" s="10">
        <v>43269</v>
      </c>
      <c r="N39" s="11" t="str">
        <f>"000173"</f>
        <v>000173</v>
      </c>
      <c r="O39" s="10">
        <v>43297</v>
      </c>
      <c r="P39" s="11" t="str">
        <f>"000263"</f>
        <v>000263</v>
      </c>
      <c r="Q39" s="10">
        <v>43300</v>
      </c>
      <c r="R39" s="11">
        <v>18</v>
      </c>
      <c r="S39" s="11" t="str">
        <f>"006294"</f>
        <v>006294</v>
      </c>
      <c r="T39" s="10">
        <v>43380</v>
      </c>
      <c r="U39" s="14">
        <v>49.953969999999998</v>
      </c>
      <c r="V39" s="14">
        <v>4.3442400000000001</v>
      </c>
      <c r="W39" s="14">
        <v>45.609729999999999</v>
      </c>
      <c r="X39" s="11">
        <v>228</v>
      </c>
      <c r="Y39" s="10">
        <v>43385</v>
      </c>
      <c r="Z39" s="11">
        <v>9845235505</v>
      </c>
      <c r="AA39" s="12" t="s">
        <v>132</v>
      </c>
      <c r="AB39" s="11" t="s">
        <v>156</v>
      </c>
      <c r="AC39" s="12" t="s">
        <v>157</v>
      </c>
      <c r="AD39" s="11" t="s">
        <v>42</v>
      </c>
      <c r="AE39" s="12" t="s">
        <v>43</v>
      </c>
      <c r="AF39" s="14">
        <f t="shared" si="0"/>
        <v>0.49953969999999998</v>
      </c>
      <c r="AG39" s="11" t="s">
        <v>158</v>
      </c>
    </row>
    <row r="40" spans="1:33" x14ac:dyDescent="0.2">
      <c r="A40" s="8">
        <v>6250</v>
      </c>
      <c r="B40" s="9" t="s">
        <v>153</v>
      </c>
      <c r="C40" s="10">
        <v>43385</v>
      </c>
      <c r="D40" s="11">
        <v>159</v>
      </c>
      <c r="E40" s="12" t="s">
        <v>34</v>
      </c>
      <c r="F40" s="12" t="s">
        <v>34</v>
      </c>
      <c r="G40" s="12" t="s">
        <v>34</v>
      </c>
      <c r="H40" s="12" t="s">
        <v>35</v>
      </c>
      <c r="I40" s="11" t="s">
        <v>161</v>
      </c>
      <c r="J40" s="12" t="s">
        <v>162</v>
      </c>
      <c r="K40" s="13" t="s">
        <v>47</v>
      </c>
      <c r="L40" s="11" t="str">
        <f>"000171"</f>
        <v>000171</v>
      </c>
      <c r="M40" s="10">
        <v>43269</v>
      </c>
      <c r="N40" s="11" t="str">
        <f>"000169"</f>
        <v>000169</v>
      </c>
      <c r="O40" s="10">
        <v>43297</v>
      </c>
      <c r="P40" s="11" t="str">
        <f>"000264"</f>
        <v>000264</v>
      </c>
      <c r="Q40" s="10">
        <v>43300</v>
      </c>
      <c r="R40" s="11">
        <v>18</v>
      </c>
      <c r="S40" s="11" t="str">
        <f>"006295"</f>
        <v>006295</v>
      </c>
      <c r="T40" s="10">
        <v>43380</v>
      </c>
      <c r="U40" s="14">
        <v>49.952710000000003</v>
      </c>
      <c r="V40" s="14">
        <v>4.3941499999999998</v>
      </c>
      <c r="W40" s="14">
        <v>45.55856</v>
      </c>
      <c r="X40" s="11">
        <v>228</v>
      </c>
      <c r="Y40" s="10">
        <v>43385</v>
      </c>
      <c r="Z40" s="11">
        <v>9845235505</v>
      </c>
      <c r="AA40" s="12" t="s">
        <v>132</v>
      </c>
      <c r="AB40" s="11" t="s">
        <v>156</v>
      </c>
      <c r="AC40" s="12" t="s">
        <v>157</v>
      </c>
      <c r="AD40" s="11" t="s">
        <v>42</v>
      </c>
      <c r="AE40" s="12" t="s">
        <v>43</v>
      </c>
      <c r="AF40" s="14">
        <f t="shared" si="0"/>
        <v>0.49952710000000006</v>
      </c>
      <c r="AG40" s="11" t="s">
        <v>158</v>
      </c>
    </row>
    <row r="41" spans="1:33" x14ac:dyDescent="0.2">
      <c r="A41" s="8">
        <v>6251</v>
      </c>
      <c r="B41" s="9" t="s">
        <v>153</v>
      </c>
      <c r="C41" s="10">
        <v>43385</v>
      </c>
      <c r="D41" s="11">
        <v>159</v>
      </c>
      <c r="E41" s="12" t="s">
        <v>34</v>
      </c>
      <c r="F41" s="12" t="s">
        <v>34</v>
      </c>
      <c r="G41" s="12" t="s">
        <v>34</v>
      </c>
      <c r="H41" s="12" t="s">
        <v>35</v>
      </c>
      <c r="I41" s="11" t="s">
        <v>163</v>
      </c>
      <c r="J41" s="12" t="s">
        <v>164</v>
      </c>
      <c r="K41" s="13" t="s">
        <v>47</v>
      </c>
      <c r="L41" s="11" t="str">
        <f>"000167"</f>
        <v>000167</v>
      </c>
      <c r="M41" s="10">
        <v>43269</v>
      </c>
      <c r="N41" s="11" t="str">
        <f>"000170"</f>
        <v>000170</v>
      </c>
      <c r="O41" s="10">
        <v>43297</v>
      </c>
      <c r="P41" s="11" t="str">
        <f>"000265"</f>
        <v>000265</v>
      </c>
      <c r="Q41" s="10">
        <v>43300</v>
      </c>
      <c r="R41" s="11">
        <v>18</v>
      </c>
      <c r="S41" s="11" t="str">
        <f>"006296"</f>
        <v>006296</v>
      </c>
      <c r="T41" s="10">
        <v>43380</v>
      </c>
      <c r="U41" s="14">
        <v>49.955260000000003</v>
      </c>
      <c r="V41" s="14">
        <v>4.3913799999999998</v>
      </c>
      <c r="W41" s="14">
        <v>45.563879999999997</v>
      </c>
      <c r="X41" s="11">
        <v>228</v>
      </c>
      <c r="Y41" s="10">
        <v>43385</v>
      </c>
      <c r="Z41" s="11">
        <v>9845235505</v>
      </c>
      <c r="AA41" s="12" t="s">
        <v>132</v>
      </c>
      <c r="AB41" s="11" t="s">
        <v>156</v>
      </c>
      <c r="AC41" s="12" t="s">
        <v>157</v>
      </c>
      <c r="AD41" s="11" t="s">
        <v>42</v>
      </c>
      <c r="AE41" s="12" t="s">
        <v>43</v>
      </c>
      <c r="AF41" s="14">
        <f t="shared" si="0"/>
        <v>0.49955260000000001</v>
      </c>
      <c r="AG41" s="11" t="s">
        <v>158</v>
      </c>
    </row>
    <row r="42" spans="1:33" x14ac:dyDescent="0.2">
      <c r="A42" s="8">
        <v>6252</v>
      </c>
      <c r="B42" s="9" t="s">
        <v>153</v>
      </c>
      <c r="C42" s="10">
        <v>43385</v>
      </c>
      <c r="D42" s="11">
        <v>159</v>
      </c>
      <c r="E42" s="12" t="s">
        <v>34</v>
      </c>
      <c r="F42" s="12" t="s">
        <v>34</v>
      </c>
      <c r="G42" s="12" t="s">
        <v>34</v>
      </c>
      <c r="H42" s="12" t="s">
        <v>35</v>
      </c>
      <c r="I42" s="11" t="s">
        <v>165</v>
      </c>
      <c r="J42" s="12" t="s">
        <v>166</v>
      </c>
      <c r="K42" s="13" t="s">
        <v>47</v>
      </c>
      <c r="L42" s="11" t="str">
        <f>"000166"</f>
        <v>000166</v>
      </c>
      <c r="M42" s="10">
        <v>43269</v>
      </c>
      <c r="N42" s="11" t="str">
        <f>"000171"</f>
        <v>000171</v>
      </c>
      <c r="O42" s="10">
        <v>43297</v>
      </c>
      <c r="P42" s="11" t="str">
        <f>"000266"</f>
        <v>000266</v>
      </c>
      <c r="Q42" s="10">
        <v>43300</v>
      </c>
      <c r="R42" s="11">
        <v>18</v>
      </c>
      <c r="S42" s="11" t="str">
        <f>"006297"</f>
        <v>006297</v>
      </c>
      <c r="T42" s="10">
        <v>43380</v>
      </c>
      <c r="U42" s="14">
        <v>49.955829999999999</v>
      </c>
      <c r="V42" s="14">
        <v>4.3844000000000003</v>
      </c>
      <c r="W42" s="14">
        <v>45.571429999999999</v>
      </c>
      <c r="X42" s="11">
        <v>228</v>
      </c>
      <c r="Y42" s="10">
        <v>43385</v>
      </c>
      <c r="Z42" s="11">
        <v>9845235505</v>
      </c>
      <c r="AA42" s="12" t="s">
        <v>132</v>
      </c>
      <c r="AB42" s="11" t="s">
        <v>156</v>
      </c>
      <c r="AC42" s="12" t="s">
        <v>157</v>
      </c>
      <c r="AD42" s="11" t="s">
        <v>42</v>
      </c>
      <c r="AE42" s="12" t="s">
        <v>43</v>
      </c>
      <c r="AF42" s="14">
        <f t="shared" si="0"/>
        <v>0.49955830000000001</v>
      </c>
      <c r="AG42" s="11" t="s">
        <v>158</v>
      </c>
    </row>
    <row r="43" spans="1:33" x14ac:dyDescent="0.2">
      <c r="A43" s="8">
        <v>6253</v>
      </c>
      <c r="B43" s="9" t="s">
        <v>153</v>
      </c>
      <c r="C43" s="10">
        <v>43385</v>
      </c>
      <c r="D43" s="11">
        <v>159</v>
      </c>
      <c r="E43" s="12" t="s">
        <v>34</v>
      </c>
      <c r="F43" s="12" t="s">
        <v>34</v>
      </c>
      <c r="G43" s="12" t="s">
        <v>34</v>
      </c>
      <c r="H43" s="12" t="s">
        <v>35</v>
      </c>
      <c r="I43" s="11" t="s">
        <v>167</v>
      </c>
      <c r="J43" s="12" t="s">
        <v>168</v>
      </c>
      <c r="K43" s="13" t="s">
        <v>47</v>
      </c>
      <c r="L43" s="11" t="str">
        <f>"000170"</f>
        <v>000170</v>
      </c>
      <c r="M43" s="10">
        <v>43269</v>
      </c>
      <c r="N43" s="11" t="str">
        <f>"000182"</f>
        <v>000182</v>
      </c>
      <c r="O43" s="10">
        <v>43341</v>
      </c>
      <c r="P43" s="11" t="str">
        <f>"000289"</f>
        <v>000289</v>
      </c>
      <c r="Q43" s="10">
        <v>43343</v>
      </c>
      <c r="R43" s="11">
        <v>18</v>
      </c>
      <c r="S43" s="11" t="str">
        <f>"006616"</f>
        <v>006616</v>
      </c>
      <c r="T43" s="10">
        <v>43384</v>
      </c>
      <c r="U43" s="14">
        <v>49.990079999999999</v>
      </c>
      <c r="V43" s="14">
        <v>4.61219</v>
      </c>
      <c r="W43" s="14">
        <v>45.377890000000001</v>
      </c>
      <c r="X43" s="11">
        <v>234</v>
      </c>
      <c r="Y43" s="10">
        <v>43385</v>
      </c>
      <c r="Z43" s="11">
        <v>9845235505</v>
      </c>
      <c r="AA43" s="12" t="s">
        <v>132</v>
      </c>
      <c r="AB43" s="11" t="s">
        <v>156</v>
      </c>
      <c r="AC43" s="12" t="s">
        <v>157</v>
      </c>
      <c r="AD43" s="11" t="s">
        <v>42</v>
      </c>
      <c r="AE43" s="12" t="s">
        <v>43</v>
      </c>
      <c r="AF43" s="14">
        <f t="shared" si="0"/>
        <v>0.49990079999999998</v>
      </c>
      <c r="AG43" s="11" t="s">
        <v>158</v>
      </c>
    </row>
    <row r="44" spans="1:33" x14ac:dyDescent="0.2">
      <c r="A44" s="8">
        <v>6624</v>
      </c>
      <c r="B44" s="9" t="s">
        <v>153</v>
      </c>
      <c r="C44" s="10">
        <v>43389</v>
      </c>
      <c r="D44" s="11">
        <v>159</v>
      </c>
      <c r="E44" s="12" t="s">
        <v>34</v>
      </c>
      <c r="F44" s="12" t="s">
        <v>34</v>
      </c>
      <c r="G44" s="12" t="s">
        <v>34</v>
      </c>
      <c r="H44" s="12" t="s">
        <v>35</v>
      </c>
      <c r="I44" s="11" t="s">
        <v>169</v>
      </c>
      <c r="J44" s="12" t="s">
        <v>170</v>
      </c>
      <c r="K44" s="13" t="s">
        <v>152</v>
      </c>
      <c r="L44" s="11" t="str">
        <f>"000048"</f>
        <v>000048</v>
      </c>
      <c r="M44" s="10">
        <v>42845</v>
      </c>
      <c r="N44" s="11" t="str">
        <f>"333376"</f>
        <v>333376</v>
      </c>
      <c r="O44" s="10">
        <v>43099</v>
      </c>
      <c r="P44" s="11" t="str">
        <f>"000362"</f>
        <v>000362</v>
      </c>
      <c r="Q44" s="10">
        <v>43131</v>
      </c>
      <c r="R44" s="11">
        <v>17</v>
      </c>
      <c r="S44" s="11" t="str">
        <f>"006523"</f>
        <v>006523</v>
      </c>
      <c r="T44" s="10">
        <v>43383</v>
      </c>
      <c r="U44" s="14">
        <v>19.92323</v>
      </c>
      <c r="V44" s="14">
        <v>2.41147</v>
      </c>
      <c r="W44" s="14">
        <v>17.511759999999999</v>
      </c>
      <c r="X44" s="11">
        <v>241</v>
      </c>
      <c r="Y44" s="10">
        <v>43389</v>
      </c>
      <c r="Z44" s="11">
        <v>9845235505</v>
      </c>
      <c r="AA44" s="12" t="s">
        <v>106</v>
      </c>
      <c r="AB44" s="11" t="s">
        <v>148</v>
      </c>
      <c r="AC44" s="12" t="s">
        <v>149</v>
      </c>
      <c r="AD44" s="11" t="s">
        <v>42</v>
      </c>
      <c r="AE44" s="12" t="s">
        <v>43</v>
      </c>
      <c r="AF44" s="14">
        <f t="shared" si="0"/>
        <v>0.1992323</v>
      </c>
      <c r="AG44" s="11" t="s">
        <v>44</v>
      </c>
    </row>
    <row r="45" spans="1:33" x14ac:dyDescent="0.2">
      <c r="A45" s="8">
        <v>6625</v>
      </c>
      <c r="B45" s="9" t="s">
        <v>153</v>
      </c>
      <c r="C45" s="10">
        <v>43389</v>
      </c>
      <c r="D45" s="11">
        <v>159</v>
      </c>
      <c r="E45" s="12" t="s">
        <v>34</v>
      </c>
      <c r="F45" s="12" t="s">
        <v>34</v>
      </c>
      <c r="G45" s="12" t="s">
        <v>34</v>
      </c>
      <c r="H45" s="12" t="s">
        <v>35</v>
      </c>
      <c r="I45" s="11" t="s">
        <v>171</v>
      </c>
      <c r="J45" s="12" t="s">
        <v>172</v>
      </c>
      <c r="K45" s="13" t="s">
        <v>152</v>
      </c>
      <c r="L45" s="11" t="str">
        <f>"000197"</f>
        <v>000197</v>
      </c>
      <c r="M45" s="10">
        <v>43120</v>
      </c>
      <c r="N45" s="11" t="str">
        <f>"333401"</f>
        <v>333401</v>
      </c>
      <c r="O45" s="10">
        <v>43120</v>
      </c>
      <c r="P45" s="11" t="str">
        <f>"000364"</f>
        <v>000364</v>
      </c>
      <c r="Q45" s="10">
        <v>43131</v>
      </c>
      <c r="R45" s="11">
        <v>18</v>
      </c>
      <c r="S45" s="11" t="str">
        <f>"006538"</f>
        <v>006538</v>
      </c>
      <c r="T45" s="10">
        <v>43383</v>
      </c>
      <c r="U45" s="14">
        <v>29.830310000000001</v>
      </c>
      <c r="V45" s="14">
        <v>2.4162499999999998</v>
      </c>
      <c r="W45" s="14">
        <v>27.414059999999999</v>
      </c>
      <c r="X45" s="11">
        <v>241</v>
      </c>
      <c r="Y45" s="10">
        <v>43389</v>
      </c>
      <c r="Z45" s="11">
        <v>8904904737</v>
      </c>
      <c r="AA45" s="12" t="s">
        <v>39</v>
      </c>
      <c r="AB45" s="11" t="s">
        <v>148</v>
      </c>
      <c r="AC45" s="12" t="s">
        <v>149</v>
      </c>
      <c r="AD45" s="11" t="s">
        <v>42</v>
      </c>
      <c r="AE45" s="12" t="s">
        <v>43</v>
      </c>
      <c r="AF45" s="14">
        <f t="shared" si="0"/>
        <v>0.29830309999999999</v>
      </c>
      <c r="AG45" s="11" t="s">
        <v>44</v>
      </c>
    </row>
    <row r="46" spans="1:33" x14ac:dyDescent="0.2">
      <c r="A46" s="8">
        <v>6626</v>
      </c>
      <c r="B46" s="9" t="s">
        <v>153</v>
      </c>
      <c r="C46" s="10">
        <v>43389</v>
      </c>
      <c r="D46" s="11">
        <v>159</v>
      </c>
      <c r="E46" s="12" t="s">
        <v>34</v>
      </c>
      <c r="F46" s="12" t="s">
        <v>34</v>
      </c>
      <c r="G46" s="12" t="s">
        <v>34</v>
      </c>
      <c r="H46" s="12" t="s">
        <v>35</v>
      </c>
      <c r="I46" s="11" t="s">
        <v>173</v>
      </c>
      <c r="J46" s="12" t="s">
        <v>174</v>
      </c>
      <c r="K46" s="13" t="s">
        <v>47</v>
      </c>
      <c r="L46" s="11" t="str">
        <f>"000025"</f>
        <v>000025</v>
      </c>
      <c r="M46" s="10">
        <v>42845</v>
      </c>
      <c r="N46" s="11" t="str">
        <f>"000037"</f>
        <v>000037</v>
      </c>
      <c r="O46" s="10">
        <v>42877</v>
      </c>
      <c r="P46" s="11" t="str">
        <f>"000071"</f>
        <v>000071</v>
      </c>
      <c r="Q46" s="10">
        <v>42880</v>
      </c>
      <c r="R46" s="11">
        <v>17</v>
      </c>
      <c r="S46" s="11" t="str">
        <f>"006582"</f>
        <v>006582</v>
      </c>
      <c r="T46" s="10">
        <v>43383</v>
      </c>
      <c r="U46" s="14">
        <v>19.70758</v>
      </c>
      <c r="V46" s="14">
        <v>2.4425400000000002</v>
      </c>
      <c r="W46" s="14">
        <v>17.265039999999999</v>
      </c>
      <c r="X46" s="11">
        <v>243</v>
      </c>
      <c r="Y46" s="10">
        <v>43389</v>
      </c>
      <c r="Z46" s="11">
        <v>9845235505</v>
      </c>
      <c r="AA46" s="12" t="s">
        <v>91</v>
      </c>
      <c r="AB46" s="11" t="s">
        <v>49</v>
      </c>
      <c r="AC46" s="12" t="s">
        <v>50</v>
      </c>
      <c r="AD46" s="11" t="s">
        <v>42</v>
      </c>
      <c r="AE46" s="12" t="s">
        <v>43</v>
      </c>
      <c r="AF46" s="14">
        <f t="shared" si="0"/>
        <v>0.1970758</v>
      </c>
      <c r="AG46" s="11" t="s">
        <v>44</v>
      </c>
    </row>
    <row r="47" spans="1:33" x14ac:dyDescent="0.2">
      <c r="A47" s="8">
        <v>7175</v>
      </c>
      <c r="B47" s="9" t="s">
        <v>175</v>
      </c>
      <c r="C47" s="10">
        <v>43418</v>
      </c>
      <c r="D47" s="11">
        <v>159</v>
      </c>
      <c r="E47" s="12" t="s">
        <v>34</v>
      </c>
      <c r="F47" s="12" t="s">
        <v>34</v>
      </c>
      <c r="G47" s="12" t="s">
        <v>34</v>
      </c>
      <c r="H47" s="12" t="s">
        <v>35</v>
      </c>
      <c r="I47" s="11" t="s">
        <v>176</v>
      </c>
      <c r="J47" s="12" t="s">
        <v>177</v>
      </c>
      <c r="K47" s="13" t="s">
        <v>38</v>
      </c>
      <c r="L47" s="11" t="str">
        <f>"000017"</f>
        <v>000017</v>
      </c>
      <c r="M47" s="10">
        <v>42415</v>
      </c>
      <c r="N47" s="11" t="str">
        <f>"000004"</f>
        <v>000004</v>
      </c>
      <c r="O47" s="10">
        <v>42843</v>
      </c>
      <c r="P47" s="11" t="str">
        <f>"000004"</f>
        <v>000004</v>
      </c>
      <c r="Q47" s="10">
        <v>42843</v>
      </c>
      <c r="R47" s="11">
        <v>17</v>
      </c>
      <c r="S47" s="11" t="str">
        <f>"002315"</f>
        <v>002315</v>
      </c>
      <c r="T47" s="10">
        <v>42885</v>
      </c>
      <c r="U47" s="14">
        <v>10.81836</v>
      </c>
      <c r="V47" s="14">
        <v>1.2319100000000001</v>
      </c>
      <c r="W47" s="14">
        <v>9.5864499999999992</v>
      </c>
      <c r="X47" s="11">
        <v>262</v>
      </c>
      <c r="Y47" s="10">
        <v>43418</v>
      </c>
      <c r="Z47" s="11">
        <v>7411417273</v>
      </c>
      <c r="AA47" s="12" t="s">
        <v>178</v>
      </c>
      <c r="AB47" s="11" t="s">
        <v>79</v>
      </c>
      <c r="AC47" s="12" t="s">
        <v>80</v>
      </c>
      <c r="AD47" s="11" t="s">
        <v>81</v>
      </c>
      <c r="AE47" s="12" t="s">
        <v>82</v>
      </c>
      <c r="AF47" s="14">
        <f t="shared" si="0"/>
        <v>0.1081836</v>
      </c>
      <c r="AG47" s="11" t="s">
        <v>44</v>
      </c>
    </row>
    <row r="48" spans="1:33" x14ac:dyDescent="0.2">
      <c r="A48" s="8">
        <v>7264</v>
      </c>
      <c r="B48" s="9" t="s">
        <v>175</v>
      </c>
      <c r="C48" s="10">
        <v>43420</v>
      </c>
      <c r="D48" s="11">
        <v>159</v>
      </c>
      <c r="E48" s="12" t="s">
        <v>34</v>
      </c>
      <c r="F48" s="12" t="s">
        <v>34</v>
      </c>
      <c r="G48" s="12" t="s">
        <v>34</v>
      </c>
      <c r="H48" s="12" t="s">
        <v>35</v>
      </c>
      <c r="I48" s="11" t="s">
        <v>179</v>
      </c>
      <c r="J48" s="12" t="s">
        <v>180</v>
      </c>
      <c r="K48" s="13" t="s">
        <v>47</v>
      </c>
      <c r="L48" s="11" t="str">
        <f>"000019"</f>
        <v>000019</v>
      </c>
      <c r="M48" s="10">
        <v>42845</v>
      </c>
      <c r="N48" s="11" t="str">
        <f>"000027"</f>
        <v>000027</v>
      </c>
      <c r="O48" s="10">
        <v>42853</v>
      </c>
      <c r="P48" s="11" t="str">
        <f>"000048"</f>
        <v>000048</v>
      </c>
      <c r="Q48" s="10">
        <v>42854</v>
      </c>
      <c r="R48" s="11">
        <v>17</v>
      </c>
      <c r="S48" s="11" t="str">
        <f>"007287"</f>
        <v>007287</v>
      </c>
      <c r="T48" s="10">
        <v>43407</v>
      </c>
      <c r="U48" s="14">
        <v>29.99924</v>
      </c>
      <c r="V48" s="14">
        <v>3.6577600000000001</v>
      </c>
      <c r="W48" s="14">
        <v>26.341480000000001</v>
      </c>
      <c r="X48" s="11">
        <v>266</v>
      </c>
      <c r="Y48" s="10">
        <v>43420</v>
      </c>
      <c r="Z48" s="11">
        <v>9845235505</v>
      </c>
      <c r="AA48" s="12" t="s">
        <v>91</v>
      </c>
      <c r="AB48" s="11" t="s">
        <v>49</v>
      </c>
      <c r="AC48" s="12" t="s">
        <v>50</v>
      </c>
      <c r="AD48" s="11" t="s">
        <v>42</v>
      </c>
      <c r="AE48" s="12" t="s">
        <v>43</v>
      </c>
      <c r="AF48" s="14">
        <f t="shared" si="0"/>
        <v>0.29999239999999999</v>
      </c>
      <c r="AG48" s="11" t="s">
        <v>44</v>
      </c>
    </row>
    <row r="49" spans="1:33" x14ac:dyDescent="0.2">
      <c r="A49" s="8">
        <v>7583</v>
      </c>
      <c r="B49" s="9" t="s">
        <v>181</v>
      </c>
      <c r="C49" s="10">
        <v>43437</v>
      </c>
      <c r="D49" s="11">
        <v>159</v>
      </c>
      <c r="E49" s="12" t="s">
        <v>34</v>
      </c>
      <c r="F49" s="12" t="s">
        <v>34</v>
      </c>
      <c r="G49" s="12" t="s">
        <v>34</v>
      </c>
      <c r="H49" s="12" t="s">
        <v>35</v>
      </c>
      <c r="I49" s="11" t="s">
        <v>182</v>
      </c>
      <c r="J49" s="12" t="s">
        <v>183</v>
      </c>
      <c r="K49" s="13" t="s">
        <v>47</v>
      </c>
      <c r="L49" s="11" t="str">
        <f>"000027"</f>
        <v>000027</v>
      </c>
      <c r="M49" s="10">
        <v>42845</v>
      </c>
      <c r="N49" s="11" t="str">
        <f>"000047"</f>
        <v>000047</v>
      </c>
      <c r="O49" s="10">
        <v>42885</v>
      </c>
      <c r="P49" s="11" t="str">
        <f>"000080"</f>
        <v>000080</v>
      </c>
      <c r="Q49" s="10">
        <v>42886</v>
      </c>
      <c r="R49" s="11">
        <v>17</v>
      </c>
      <c r="S49" s="11" t="str">
        <f>"007460"</f>
        <v>007460</v>
      </c>
      <c r="T49" s="10">
        <v>43421</v>
      </c>
      <c r="U49" s="14">
        <v>19.985520000000001</v>
      </c>
      <c r="V49" s="14">
        <v>2.5209199999999998</v>
      </c>
      <c r="W49" s="14">
        <v>17.464600000000001</v>
      </c>
      <c r="X49" s="11">
        <v>279</v>
      </c>
      <c r="Y49" s="10">
        <v>43437</v>
      </c>
      <c r="Z49" s="11">
        <v>9845235505</v>
      </c>
      <c r="AA49" s="12" t="s">
        <v>91</v>
      </c>
      <c r="AB49" s="11" t="s">
        <v>49</v>
      </c>
      <c r="AC49" s="12" t="s">
        <v>50</v>
      </c>
      <c r="AD49" s="11" t="s">
        <v>42</v>
      </c>
      <c r="AE49" s="12" t="s">
        <v>43</v>
      </c>
      <c r="AF49" s="14">
        <f t="shared" si="0"/>
        <v>0.19985520000000001</v>
      </c>
      <c r="AG49" s="11" t="s">
        <v>44</v>
      </c>
    </row>
    <row r="50" spans="1:33" x14ac:dyDescent="0.2">
      <c r="A50" s="8">
        <v>7584</v>
      </c>
      <c r="B50" s="9" t="s">
        <v>181</v>
      </c>
      <c r="C50" s="10">
        <v>43437</v>
      </c>
      <c r="D50" s="11">
        <v>159</v>
      </c>
      <c r="E50" s="12" t="s">
        <v>34</v>
      </c>
      <c r="F50" s="12" t="s">
        <v>34</v>
      </c>
      <c r="G50" s="12" t="s">
        <v>34</v>
      </c>
      <c r="H50" s="12" t="s">
        <v>35</v>
      </c>
      <c r="I50" s="11" t="s">
        <v>184</v>
      </c>
      <c r="J50" s="12" t="s">
        <v>185</v>
      </c>
      <c r="K50" s="13" t="s">
        <v>152</v>
      </c>
      <c r="L50" s="11" t="str">
        <f>"000108"</f>
        <v>000108</v>
      </c>
      <c r="M50" s="10">
        <v>43075</v>
      </c>
      <c r="N50" s="11" t="str">
        <f>"333458"</f>
        <v>333458</v>
      </c>
      <c r="O50" s="10">
        <v>43179</v>
      </c>
      <c r="P50" s="11" t="str">
        <f>"000427"</f>
        <v>000427</v>
      </c>
      <c r="Q50" s="10">
        <v>43179</v>
      </c>
      <c r="R50" s="11">
        <v>18</v>
      </c>
      <c r="S50" s="11" t="str">
        <f>"007634"</f>
        <v>007634</v>
      </c>
      <c r="T50" s="10">
        <v>43432</v>
      </c>
      <c r="U50" s="14">
        <v>54.914279999999998</v>
      </c>
      <c r="V50" s="14">
        <v>3.3497599999999998</v>
      </c>
      <c r="W50" s="14">
        <v>51.564520000000002</v>
      </c>
      <c r="X50" s="11">
        <v>280</v>
      </c>
      <c r="Y50" s="10">
        <v>43437</v>
      </c>
      <c r="Z50" s="11">
        <v>9886073963</v>
      </c>
      <c r="AA50" s="12" t="s">
        <v>186</v>
      </c>
      <c r="AB50" s="11" t="s">
        <v>187</v>
      </c>
      <c r="AC50" s="12" t="s">
        <v>188</v>
      </c>
      <c r="AD50" s="11" t="s">
        <v>42</v>
      </c>
      <c r="AE50" s="12" t="s">
        <v>43</v>
      </c>
      <c r="AF50" s="14">
        <f t="shared" si="0"/>
        <v>0.54914279999999993</v>
      </c>
      <c r="AG50" s="11" t="s">
        <v>44</v>
      </c>
    </row>
    <row r="51" spans="1:33" x14ac:dyDescent="0.2">
      <c r="A51" s="8">
        <v>8063</v>
      </c>
      <c r="B51" s="9" t="s">
        <v>181</v>
      </c>
      <c r="C51" s="10">
        <v>43455</v>
      </c>
      <c r="D51" s="11">
        <v>159</v>
      </c>
      <c r="E51" s="12" t="s">
        <v>34</v>
      </c>
      <c r="F51" s="12" t="s">
        <v>34</v>
      </c>
      <c r="G51" s="12" t="s">
        <v>34</v>
      </c>
      <c r="H51" s="12" t="s">
        <v>35</v>
      </c>
      <c r="I51" s="11" t="s">
        <v>189</v>
      </c>
      <c r="J51" s="12" t="s">
        <v>190</v>
      </c>
      <c r="K51" s="13" t="s">
        <v>47</v>
      </c>
      <c r="L51" s="11" t="str">
        <f>"000017"</f>
        <v>000017</v>
      </c>
      <c r="M51" s="10">
        <v>42832</v>
      </c>
      <c r="N51" s="11" t="str">
        <f>"000111"</f>
        <v>000111</v>
      </c>
      <c r="O51" s="10">
        <v>42885</v>
      </c>
      <c r="P51" s="11" t="str">
        <f>"000111"</f>
        <v>000111</v>
      </c>
      <c r="Q51" s="10">
        <v>42886</v>
      </c>
      <c r="R51" s="11">
        <v>17</v>
      </c>
      <c r="S51" s="11" t="str">
        <f>"007731"</f>
        <v>007731</v>
      </c>
      <c r="T51" s="10">
        <v>43441</v>
      </c>
      <c r="U51" s="14">
        <v>19.99081</v>
      </c>
      <c r="V51" s="14">
        <v>2.61477</v>
      </c>
      <c r="W51" s="14">
        <v>17.37604</v>
      </c>
      <c r="X51" s="11">
        <v>301</v>
      </c>
      <c r="Y51" s="10">
        <v>43455</v>
      </c>
      <c r="Z51" s="11">
        <v>9845235505</v>
      </c>
      <c r="AA51" s="12" t="s">
        <v>39</v>
      </c>
      <c r="AB51" s="11" t="s">
        <v>49</v>
      </c>
      <c r="AC51" s="12" t="s">
        <v>50</v>
      </c>
      <c r="AD51" s="11" t="s">
        <v>42</v>
      </c>
      <c r="AE51" s="12" t="s">
        <v>43</v>
      </c>
      <c r="AF51" s="14">
        <f t="shared" si="0"/>
        <v>0.19990810000000001</v>
      </c>
      <c r="AG51" s="11" t="s">
        <v>44</v>
      </c>
    </row>
    <row r="52" spans="1:33" x14ac:dyDescent="0.2">
      <c r="A52" s="8">
        <v>8363</v>
      </c>
      <c r="B52" s="9" t="s">
        <v>191</v>
      </c>
      <c r="C52" s="10">
        <v>43467</v>
      </c>
      <c r="D52" s="11">
        <v>159</v>
      </c>
      <c r="E52" s="12" t="s">
        <v>34</v>
      </c>
      <c r="F52" s="12" t="s">
        <v>34</v>
      </c>
      <c r="G52" s="12" t="s">
        <v>34</v>
      </c>
      <c r="H52" s="12" t="s">
        <v>35</v>
      </c>
      <c r="I52" s="11" t="s">
        <v>192</v>
      </c>
      <c r="J52" s="12" t="s">
        <v>193</v>
      </c>
      <c r="K52" s="13" t="s">
        <v>74</v>
      </c>
      <c r="L52" s="11" t="str">
        <f>"000151"</f>
        <v>000151</v>
      </c>
      <c r="M52" s="10">
        <v>43244</v>
      </c>
      <c r="N52" s="11" t="str">
        <f>"000117"</f>
        <v>000117</v>
      </c>
      <c r="O52" s="10">
        <v>43266</v>
      </c>
      <c r="P52" s="11" t="str">
        <f>"000176"</f>
        <v>000176</v>
      </c>
      <c r="Q52" s="10">
        <v>43270</v>
      </c>
      <c r="R52" s="11"/>
      <c r="S52" s="11" t="str">
        <f>"008045"</f>
        <v>008045</v>
      </c>
      <c r="T52" s="10">
        <v>43451</v>
      </c>
      <c r="U52" s="14">
        <v>20.03434</v>
      </c>
      <c r="V52" s="14">
        <v>1.72278</v>
      </c>
      <c r="W52" s="14">
        <v>18.31156</v>
      </c>
      <c r="X52" s="11">
        <v>311</v>
      </c>
      <c r="Y52" s="10">
        <v>43467</v>
      </c>
      <c r="Z52" s="11">
        <v>9845235505</v>
      </c>
      <c r="AA52" s="12" t="s">
        <v>132</v>
      </c>
      <c r="AB52" s="11" t="s">
        <v>63</v>
      </c>
      <c r="AC52" s="12" t="s">
        <v>64</v>
      </c>
      <c r="AD52" s="11" t="s">
        <v>42</v>
      </c>
      <c r="AE52" s="12" t="s">
        <v>43</v>
      </c>
      <c r="AF52" s="14">
        <f t="shared" si="0"/>
        <v>0.2003434</v>
      </c>
      <c r="AG52" s="11" t="s">
        <v>158</v>
      </c>
    </row>
    <row r="53" spans="1:33" x14ac:dyDescent="0.2">
      <c r="A53" s="8">
        <v>8514</v>
      </c>
      <c r="B53" s="9" t="s">
        <v>191</v>
      </c>
      <c r="C53" s="10">
        <v>43475</v>
      </c>
      <c r="D53" s="11">
        <v>159</v>
      </c>
      <c r="E53" s="12" t="s">
        <v>34</v>
      </c>
      <c r="F53" s="12" t="s">
        <v>34</v>
      </c>
      <c r="G53" s="12" t="s">
        <v>34</v>
      </c>
      <c r="H53" s="12" t="s">
        <v>35</v>
      </c>
      <c r="I53" s="11" t="s">
        <v>194</v>
      </c>
      <c r="J53" s="12" t="s">
        <v>195</v>
      </c>
      <c r="K53" s="13" t="s">
        <v>196</v>
      </c>
      <c r="L53" s="11" t="str">
        <f>"000087"</f>
        <v>000087</v>
      </c>
      <c r="M53" s="10">
        <v>42825</v>
      </c>
      <c r="N53" s="11" t="str">
        <f>"000016"</f>
        <v>000016</v>
      </c>
      <c r="O53" s="10">
        <v>43054</v>
      </c>
      <c r="P53" s="11" t="str">
        <f>"000016"</f>
        <v>000016</v>
      </c>
      <c r="Q53" s="10">
        <v>43054</v>
      </c>
      <c r="R53" s="11"/>
      <c r="S53" s="11" t="str">
        <f>"008138"</f>
        <v>008138</v>
      </c>
      <c r="T53" s="10">
        <v>43455</v>
      </c>
      <c r="U53" s="14">
        <v>0.98287000000000002</v>
      </c>
      <c r="V53" s="14">
        <v>0.10909000000000001</v>
      </c>
      <c r="W53" s="14">
        <v>0.87378</v>
      </c>
      <c r="X53" s="11">
        <v>320</v>
      </c>
      <c r="Y53" s="10">
        <v>43475</v>
      </c>
      <c r="Z53" s="11">
        <v>9945159512</v>
      </c>
      <c r="AA53" s="12" t="s">
        <v>197</v>
      </c>
      <c r="AB53" s="11" t="s">
        <v>128</v>
      </c>
      <c r="AC53" s="12" t="s">
        <v>129</v>
      </c>
      <c r="AD53" s="11" t="s">
        <v>112</v>
      </c>
      <c r="AE53" s="12" t="s">
        <v>113</v>
      </c>
      <c r="AF53" s="14">
        <f t="shared" si="0"/>
        <v>9.828700000000001E-3</v>
      </c>
      <c r="AG53" s="11" t="s">
        <v>44</v>
      </c>
    </row>
    <row r="54" spans="1:33" x14ac:dyDescent="0.2">
      <c r="A54" s="8">
        <v>8515</v>
      </c>
      <c r="B54" s="9" t="s">
        <v>191</v>
      </c>
      <c r="C54" s="10">
        <v>43475</v>
      </c>
      <c r="D54" s="11">
        <v>159</v>
      </c>
      <c r="E54" s="12" t="s">
        <v>34</v>
      </c>
      <c r="F54" s="12" t="s">
        <v>34</v>
      </c>
      <c r="G54" s="12" t="s">
        <v>34</v>
      </c>
      <c r="H54" s="12" t="s">
        <v>35</v>
      </c>
      <c r="I54" s="11" t="s">
        <v>198</v>
      </c>
      <c r="J54" s="12" t="s">
        <v>199</v>
      </c>
      <c r="K54" s="13" t="s">
        <v>196</v>
      </c>
      <c r="L54" s="11" t="str">
        <f>"000086"</f>
        <v>000086</v>
      </c>
      <c r="M54" s="10">
        <v>42825</v>
      </c>
      <c r="N54" s="11" t="str">
        <f>"000017"</f>
        <v>000017</v>
      </c>
      <c r="O54" s="10">
        <v>43054</v>
      </c>
      <c r="P54" s="11" t="str">
        <f>"000017"</f>
        <v>000017</v>
      </c>
      <c r="Q54" s="10">
        <v>43054</v>
      </c>
      <c r="R54" s="11"/>
      <c r="S54" s="11" t="str">
        <f>"008139"</f>
        <v>008139</v>
      </c>
      <c r="T54" s="10">
        <v>43455</v>
      </c>
      <c r="U54" s="14">
        <v>0.99146000000000001</v>
      </c>
      <c r="V54" s="14">
        <v>0.11004</v>
      </c>
      <c r="W54" s="14">
        <v>0.88141999999999998</v>
      </c>
      <c r="X54" s="11">
        <v>320</v>
      </c>
      <c r="Y54" s="10">
        <v>43475</v>
      </c>
      <c r="Z54" s="11">
        <v>9945159512</v>
      </c>
      <c r="AA54" s="12" t="s">
        <v>197</v>
      </c>
      <c r="AB54" s="11" t="s">
        <v>128</v>
      </c>
      <c r="AC54" s="12" t="s">
        <v>129</v>
      </c>
      <c r="AD54" s="11" t="s">
        <v>112</v>
      </c>
      <c r="AE54" s="12" t="s">
        <v>113</v>
      </c>
      <c r="AF54" s="14">
        <f t="shared" si="0"/>
        <v>9.9146000000000008E-3</v>
      </c>
      <c r="AG54" s="11" t="s">
        <v>44</v>
      </c>
    </row>
    <row r="55" spans="1:33" x14ac:dyDescent="0.2">
      <c r="A55" s="8">
        <v>8516</v>
      </c>
      <c r="B55" s="9" t="s">
        <v>191</v>
      </c>
      <c r="C55" s="10">
        <v>43475</v>
      </c>
      <c r="D55" s="11">
        <v>159</v>
      </c>
      <c r="E55" s="12" t="s">
        <v>34</v>
      </c>
      <c r="F55" s="12" t="s">
        <v>34</v>
      </c>
      <c r="G55" s="12" t="s">
        <v>34</v>
      </c>
      <c r="H55" s="12" t="s">
        <v>35</v>
      </c>
      <c r="I55" s="11" t="s">
        <v>200</v>
      </c>
      <c r="J55" s="12" t="s">
        <v>201</v>
      </c>
      <c r="K55" s="13" t="s">
        <v>196</v>
      </c>
      <c r="L55" s="11" t="str">
        <f>"000085"</f>
        <v>000085</v>
      </c>
      <c r="M55" s="10">
        <v>42825</v>
      </c>
      <c r="N55" s="11" t="str">
        <f>"000018"</f>
        <v>000018</v>
      </c>
      <c r="O55" s="10">
        <v>43054</v>
      </c>
      <c r="P55" s="11" t="str">
        <f>"000018"</f>
        <v>000018</v>
      </c>
      <c r="Q55" s="10">
        <v>43054</v>
      </c>
      <c r="R55" s="11"/>
      <c r="S55" s="11" t="str">
        <f>"008140"</f>
        <v>008140</v>
      </c>
      <c r="T55" s="10">
        <v>43455</v>
      </c>
      <c r="U55" s="14">
        <v>0.99104000000000003</v>
      </c>
      <c r="V55" s="14">
        <v>0.12814999999999999</v>
      </c>
      <c r="W55" s="14">
        <v>0.86289000000000005</v>
      </c>
      <c r="X55" s="11">
        <v>320</v>
      </c>
      <c r="Y55" s="10">
        <v>43475</v>
      </c>
      <c r="Z55" s="11">
        <v>9448084879</v>
      </c>
      <c r="AA55" s="12" t="s">
        <v>202</v>
      </c>
      <c r="AB55" s="11" t="s">
        <v>128</v>
      </c>
      <c r="AC55" s="12" t="s">
        <v>129</v>
      </c>
      <c r="AD55" s="11" t="s">
        <v>112</v>
      </c>
      <c r="AE55" s="12" t="s">
        <v>113</v>
      </c>
      <c r="AF55" s="14">
        <f t="shared" si="0"/>
        <v>9.9103999999999998E-3</v>
      </c>
      <c r="AG55" s="11" t="s">
        <v>44</v>
      </c>
    </row>
    <row r="56" spans="1:33" x14ac:dyDescent="0.2">
      <c r="A56" s="8">
        <v>8517</v>
      </c>
      <c r="B56" s="9" t="s">
        <v>191</v>
      </c>
      <c r="C56" s="10">
        <v>43475</v>
      </c>
      <c r="D56" s="11">
        <v>159</v>
      </c>
      <c r="E56" s="12" t="s">
        <v>34</v>
      </c>
      <c r="F56" s="12" t="s">
        <v>34</v>
      </c>
      <c r="G56" s="12" t="s">
        <v>34</v>
      </c>
      <c r="H56" s="12" t="s">
        <v>35</v>
      </c>
      <c r="I56" s="11" t="s">
        <v>203</v>
      </c>
      <c r="J56" s="12" t="s">
        <v>204</v>
      </c>
      <c r="K56" s="13" t="s">
        <v>196</v>
      </c>
      <c r="L56" s="11" t="str">
        <f>"000084"</f>
        <v>000084</v>
      </c>
      <c r="M56" s="10">
        <v>42825</v>
      </c>
      <c r="N56" s="11" t="str">
        <f>"000019"</f>
        <v>000019</v>
      </c>
      <c r="O56" s="10">
        <v>43054</v>
      </c>
      <c r="P56" s="11" t="str">
        <f>"000019"</f>
        <v>000019</v>
      </c>
      <c r="Q56" s="10">
        <v>43054</v>
      </c>
      <c r="R56" s="11"/>
      <c r="S56" s="11" t="str">
        <f>"008141"</f>
        <v>008141</v>
      </c>
      <c r="T56" s="10">
        <v>43455</v>
      </c>
      <c r="U56" s="14">
        <v>0.99473</v>
      </c>
      <c r="V56" s="14">
        <v>0.12856999999999999</v>
      </c>
      <c r="W56" s="14">
        <v>0.86616000000000004</v>
      </c>
      <c r="X56" s="11">
        <v>320</v>
      </c>
      <c r="Y56" s="10">
        <v>43475</v>
      </c>
      <c r="Z56" s="11">
        <v>9448084879</v>
      </c>
      <c r="AA56" s="12" t="s">
        <v>202</v>
      </c>
      <c r="AB56" s="11" t="s">
        <v>128</v>
      </c>
      <c r="AC56" s="12" t="s">
        <v>129</v>
      </c>
      <c r="AD56" s="11" t="s">
        <v>112</v>
      </c>
      <c r="AE56" s="12" t="s">
        <v>113</v>
      </c>
      <c r="AF56" s="14">
        <f t="shared" si="0"/>
        <v>9.9472999999999992E-3</v>
      </c>
      <c r="AG56" s="11" t="s">
        <v>44</v>
      </c>
    </row>
    <row r="57" spans="1:33" x14ac:dyDescent="0.2">
      <c r="A57" s="8">
        <v>9055</v>
      </c>
      <c r="B57" s="9" t="s">
        <v>205</v>
      </c>
      <c r="C57" s="10">
        <v>43504</v>
      </c>
      <c r="D57" s="11">
        <v>159</v>
      </c>
      <c r="E57" s="12" t="s">
        <v>34</v>
      </c>
      <c r="F57" s="12" t="s">
        <v>34</v>
      </c>
      <c r="G57" s="12" t="s">
        <v>34</v>
      </c>
      <c r="H57" s="12" t="s">
        <v>35</v>
      </c>
      <c r="I57" s="11" t="s">
        <v>100</v>
      </c>
      <c r="J57" s="12" t="s">
        <v>101</v>
      </c>
      <c r="K57" s="13" t="s">
        <v>74</v>
      </c>
      <c r="L57" s="11" t="str">
        <f>"000165"</f>
        <v>000165</v>
      </c>
      <c r="M57" s="10">
        <v>43099</v>
      </c>
      <c r="N57" s="11" t="str">
        <f>"000200"</f>
        <v>000200</v>
      </c>
      <c r="O57" s="10">
        <v>43434</v>
      </c>
      <c r="P57" s="11" t="str">
        <f>"000377"</f>
        <v>000377</v>
      </c>
      <c r="Q57" s="10">
        <v>43439</v>
      </c>
      <c r="R57" s="11"/>
      <c r="S57" s="11" t="str">
        <f>"009163"</f>
        <v>009163</v>
      </c>
      <c r="T57" s="10">
        <v>43503</v>
      </c>
      <c r="U57" s="14">
        <v>3.5892499999999998</v>
      </c>
      <c r="V57" s="14">
        <v>0.11126999999999999</v>
      </c>
      <c r="W57" s="14">
        <v>3.4779800000000001</v>
      </c>
      <c r="X57" s="11">
        <v>346</v>
      </c>
      <c r="Y57" s="10">
        <v>43504</v>
      </c>
      <c r="Z57" s="11">
        <v>9449754323</v>
      </c>
      <c r="AA57" s="12" t="s">
        <v>102</v>
      </c>
      <c r="AB57" s="11" t="s">
        <v>40</v>
      </c>
      <c r="AC57" s="12" t="s">
        <v>41</v>
      </c>
      <c r="AD57" s="11" t="s">
        <v>42</v>
      </c>
      <c r="AE57" s="12" t="s">
        <v>43</v>
      </c>
      <c r="AF57" s="14">
        <f t="shared" si="0"/>
        <v>3.5892500000000001E-2</v>
      </c>
      <c r="AG57" s="11" t="s">
        <v>65</v>
      </c>
    </row>
    <row r="58" spans="1:33" x14ac:dyDescent="0.2">
      <c r="A58" s="8">
        <v>9879</v>
      </c>
      <c r="B58" s="9" t="s">
        <v>206</v>
      </c>
      <c r="C58" s="10">
        <v>43550</v>
      </c>
      <c r="D58" s="11">
        <v>159</v>
      </c>
      <c r="E58" s="12" t="s">
        <v>34</v>
      </c>
      <c r="F58" s="12" t="s">
        <v>34</v>
      </c>
      <c r="G58" s="12" t="s">
        <v>34</v>
      </c>
      <c r="H58" s="12" t="s">
        <v>35</v>
      </c>
      <c r="I58" s="11" t="s">
        <v>207</v>
      </c>
      <c r="J58" s="12" t="s">
        <v>208</v>
      </c>
      <c r="K58" s="13" t="s">
        <v>47</v>
      </c>
      <c r="L58" s="11" t="str">
        <f>"000492"</f>
        <v>000492</v>
      </c>
      <c r="M58" s="10">
        <v>43456</v>
      </c>
      <c r="N58" s="11" t="str">
        <f>"000249"</f>
        <v>000249</v>
      </c>
      <c r="O58" s="10">
        <v>43541</v>
      </c>
      <c r="P58" s="11" t="str">
        <f>"000510"</f>
        <v>000510</v>
      </c>
      <c r="Q58" s="10">
        <v>43542</v>
      </c>
      <c r="R58" s="11"/>
      <c r="S58" s="11" t="str">
        <f>"009968"</f>
        <v>009968</v>
      </c>
      <c r="T58" s="10">
        <v>43550</v>
      </c>
      <c r="U58" s="14">
        <v>61.016530000000003</v>
      </c>
      <c r="V58" s="14">
        <v>6.2187299999999999</v>
      </c>
      <c r="W58" s="14">
        <v>54.797800000000002</v>
      </c>
      <c r="X58" s="11">
        <v>386</v>
      </c>
      <c r="Y58" s="10">
        <v>43550</v>
      </c>
      <c r="Z58" s="11">
        <v>9731449749</v>
      </c>
      <c r="AA58" s="12" t="s">
        <v>209</v>
      </c>
      <c r="AB58" s="11" t="s">
        <v>210</v>
      </c>
      <c r="AC58" s="12" t="s">
        <v>211</v>
      </c>
      <c r="AD58" s="11" t="s">
        <v>42</v>
      </c>
      <c r="AE58" s="12" t="s">
        <v>43</v>
      </c>
      <c r="AF58" s="14">
        <f t="shared" si="0"/>
        <v>0.61016530000000002</v>
      </c>
      <c r="AG58" s="11" t="s">
        <v>158</v>
      </c>
    </row>
    <row r="59" spans="1:33" x14ac:dyDescent="0.2">
      <c r="A59" s="8">
        <v>9880</v>
      </c>
      <c r="B59" s="9" t="s">
        <v>206</v>
      </c>
      <c r="C59" s="10">
        <v>43550</v>
      </c>
      <c r="D59" s="11">
        <v>159</v>
      </c>
      <c r="E59" s="12" t="s">
        <v>34</v>
      </c>
      <c r="F59" s="12" t="s">
        <v>34</v>
      </c>
      <c r="G59" s="12" t="s">
        <v>34</v>
      </c>
      <c r="H59" s="12" t="s">
        <v>35</v>
      </c>
      <c r="I59" s="11" t="s">
        <v>212</v>
      </c>
      <c r="J59" s="12" t="s">
        <v>213</v>
      </c>
      <c r="K59" s="13" t="s">
        <v>74</v>
      </c>
      <c r="L59" s="11" t="str">
        <f>"000515"</f>
        <v>000515</v>
      </c>
      <c r="M59" s="10">
        <v>43479</v>
      </c>
      <c r="N59" s="11" t="str">
        <f>"000250"</f>
        <v>000250</v>
      </c>
      <c r="O59" s="10">
        <v>43541</v>
      </c>
      <c r="P59" s="11" t="str">
        <f>"000511"</f>
        <v>000511</v>
      </c>
      <c r="Q59" s="10">
        <v>43542</v>
      </c>
      <c r="R59" s="11"/>
      <c r="S59" s="11" t="str">
        <f>"009969"</f>
        <v>009969</v>
      </c>
      <c r="T59" s="10">
        <v>43550</v>
      </c>
      <c r="U59" s="14">
        <v>106.43810000000001</v>
      </c>
      <c r="V59" s="14">
        <v>11.05434</v>
      </c>
      <c r="W59" s="14">
        <v>95.383759999999995</v>
      </c>
      <c r="X59" s="11">
        <v>386</v>
      </c>
      <c r="Y59" s="10">
        <v>43550</v>
      </c>
      <c r="Z59" s="11">
        <v>9731449749</v>
      </c>
      <c r="AA59" s="12" t="s">
        <v>214</v>
      </c>
      <c r="AB59" s="11" t="s">
        <v>215</v>
      </c>
      <c r="AC59" s="12" t="s">
        <v>216</v>
      </c>
      <c r="AD59" s="11" t="s">
        <v>42</v>
      </c>
      <c r="AE59" s="12" t="s">
        <v>43</v>
      </c>
      <c r="AF59" s="14">
        <f t="shared" si="0"/>
        <v>1.064381</v>
      </c>
      <c r="AG59" s="11" t="s">
        <v>158</v>
      </c>
    </row>
    <row r="60" spans="1:33" x14ac:dyDescent="0.2">
      <c r="A60" s="8">
        <v>9881</v>
      </c>
      <c r="B60" s="9" t="s">
        <v>206</v>
      </c>
      <c r="C60" s="10">
        <v>43550</v>
      </c>
      <c r="D60" s="11">
        <v>159</v>
      </c>
      <c r="E60" s="12" t="s">
        <v>34</v>
      </c>
      <c r="F60" s="12" t="s">
        <v>34</v>
      </c>
      <c r="G60" s="12" t="s">
        <v>34</v>
      </c>
      <c r="H60" s="12" t="s">
        <v>35</v>
      </c>
      <c r="I60" s="11" t="s">
        <v>217</v>
      </c>
      <c r="J60" s="12" t="s">
        <v>218</v>
      </c>
      <c r="K60" s="13" t="s">
        <v>74</v>
      </c>
      <c r="L60" s="11" t="str">
        <f>"000479"</f>
        <v>000479</v>
      </c>
      <c r="M60" s="10">
        <v>43451</v>
      </c>
      <c r="N60" s="11" t="str">
        <f>"000247"</f>
        <v>000247</v>
      </c>
      <c r="O60" s="10">
        <v>43541</v>
      </c>
      <c r="P60" s="11" t="str">
        <f>"000512"</f>
        <v>000512</v>
      </c>
      <c r="Q60" s="10">
        <v>43542</v>
      </c>
      <c r="R60" s="11"/>
      <c r="S60" s="11" t="str">
        <f>"009970"</f>
        <v>009970</v>
      </c>
      <c r="T60" s="10">
        <v>43550</v>
      </c>
      <c r="U60" s="14">
        <v>40.119109999999999</v>
      </c>
      <c r="V60" s="14">
        <v>4.0378400000000001</v>
      </c>
      <c r="W60" s="14">
        <v>36.081270000000004</v>
      </c>
      <c r="X60" s="11">
        <v>386</v>
      </c>
      <c r="Y60" s="10">
        <v>43550</v>
      </c>
      <c r="Z60" s="11">
        <v>8095406808</v>
      </c>
      <c r="AA60" s="12" t="s">
        <v>219</v>
      </c>
      <c r="AB60" s="11" t="s">
        <v>210</v>
      </c>
      <c r="AC60" s="12" t="s">
        <v>211</v>
      </c>
      <c r="AD60" s="11" t="s">
        <v>42</v>
      </c>
      <c r="AE60" s="12" t="s">
        <v>43</v>
      </c>
      <c r="AF60" s="14">
        <f t="shared" si="0"/>
        <v>0.40119109999999997</v>
      </c>
      <c r="AG60" s="11" t="s">
        <v>158</v>
      </c>
    </row>
    <row r="61" spans="1:33" x14ac:dyDescent="0.2">
      <c r="A61" s="8">
        <v>9888</v>
      </c>
      <c r="B61" s="9" t="s">
        <v>206</v>
      </c>
      <c r="C61" s="10">
        <v>43550</v>
      </c>
      <c r="D61" s="11">
        <v>159</v>
      </c>
      <c r="E61" s="12" t="s">
        <v>34</v>
      </c>
      <c r="F61" s="12" t="s">
        <v>34</v>
      </c>
      <c r="G61" s="12" t="s">
        <v>34</v>
      </c>
      <c r="H61" s="12" t="s">
        <v>35</v>
      </c>
      <c r="I61" s="11" t="s">
        <v>220</v>
      </c>
      <c r="J61" s="12" t="s">
        <v>221</v>
      </c>
      <c r="K61" s="13" t="s">
        <v>47</v>
      </c>
      <c r="L61" s="11" t="str">
        <f>"000516"</f>
        <v>000516</v>
      </c>
      <c r="M61" s="10">
        <v>43479</v>
      </c>
      <c r="N61" s="11" t="str">
        <f>"000248"</f>
        <v>000248</v>
      </c>
      <c r="O61" s="10">
        <v>43541</v>
      </c>
      <c r="P61" s="11" t="str">
        <f>"000509"</f>
        <v>000509</v>
      </c>
      <c r="Q61" s="10">
        <v>43542</v>
      </c>
      <c r="R61" s="11"/>
      <c r="S61" s="11" t="str">
        <f>"009977"</f>
        <v>009977</v>
      </c>
      <c r="T61" s="10">
        <v>43550</v>
      </c>
      <c r="U61" s="14">
        <v>141.88573</v>
      </c>
      <c r="V61" s="14">
        <v>14.21088</v>
      </c>
      <c r="W61" s="14">
        <v>127.67485000000001</v>
      </c>
      <c r="X61" s="11">
        <v>386</v>
      </c>
      <c r="Y61" s="10">
        <v>43550</v>
      </c>
      <c r="Z61" s="11">
        <v>9731449749</v>
      </c>
      <c r="AA61" s="12" t="s">
        <v>214</v>
      </c>
      <c r="AB61" s="11" t="s">
        <v>215</v>
      </c>
      <c r="AC61" s="12" t="s">
        <v>216</v>
      </c>
      <c r="AD61" s="11" t="s">
        <v>42</v>
      </c>
      <c r="AE61" s="12" t="s">
        <v>43</v>
      </c>
      <c r="AF61" s="14">
        <f t="shared" si="0"/>
        <v>1.4188573</v>
      </c>
      <c r="AG61" s="11" t="s">
        <v>158</v>
      </c>
    </row>
    <row r="62" spans="1:33" x14ac:dyDescent="0.2">
      <c r="A62" s="8">
        <v>10062</v>
      </c>
      <c r="B62" s="9" t="s">
        <v>206</v>
      </c>
      <c r="C62" s="10">
        <v>43552</v>
      </c>
      <c r="D62" s="11">
        <v>159</v>
      </c>
      <c r="E62" s="12" t="s">
        <v>34</v>
      </c>
      <c r="F62" s="12" t="s">
        <v>34</v>
      </c>
      <c r="G62" s="12" t="s">
        <v>34</v>
      </c>
      <c r="H62" s="12" t="s">
        <v>35</v>
      </c>
      <c r="I62" s="11" t="s">
        <v>222</v>
      </c>
      <c r="J62" s="12" t="s">
        <v>223</v>
      </c>
      <c r="K62" s="13" t="s">
        <v>152</v>
      </c>
      <c r="L62" s="11" t="str">
        <f>"000110"</f>
        <v>000110</v>
      </c>
      <c r="M62" s="10">
        <v>43077</v>
      </c>
      <c r="N62" s="11" t="str">
        <f>"000081"</f>
        <v>000081</v>
      </c>
      <c r="O62" s="10">
        <v>43253</v>
      </c>
      <c r="P62" s="11" t="str">
        <f>"000119"</f>
        <v>000119</v>
      </c>
      <c r="Q62" s="10">
        <v>43257</v>
      </c>
      <c r="R62" s="11"/>
      <c r="S62" s="11" t="str">
        <f>"009985"</f>
        <v>009985</v>
      </c>
      <c r="T62" s="10">
        <v>43551</v>
      </c>
      <c r="U62" s="14">
        <v>9.8960699999999999</v>
      </c>
      <c r="V62" s="14">
        <v>0.86658000000000002</v>
      </c>
      <c r="W62" s="14">
        <v>9.0294899999999991</v>
      </c>
      <c r="X62" s="11">
        <v>391</v>
      </c>
      <c r="Y62" s="10">
        <v>43552</v>
      </c>
      <c r="Z62" s="11">
        <v>8904904737</v>
      </c>
      <c r="AA62" s="12" t="s">
        <v>39</v>
      </c>
      <c r="AB62" s="11" t="s">
        <v>148</v>
      </c>
      <c r="AC62" s="12" t="s">
        <v>149</v>
      </c>
      <c r="AD62" s="11" t="s">
        <v>42</v>
      </c>
      <c r="AE62" s="12" t="s">
        <v>43</v>
      </c>
      <c r="AF62" s="14">
        <f t="shared" si="0"/>
        <v>9.8960699999999999E-2</v>
      </c>
      <c r="AG62" s="11" t="s">
        <v>65</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2019-06-14T08:37:40Z</dcterms:modified>
</cp:coreProperties>
</file>