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50" i="1" l="1"/>
  <c r="S50" i="1"/>
  <c r="P50" i="1"/>
  <c r="N50" i="1"/>
  <c r="L50" i="1"/>
  <c r="AF49" i="1"/>
  <c r="S49" i="1"/>
  <c r="P49" i="1"/>
  <c r="N49" i="1"/>
  <c r="L49" i="1"/>
  <c r="AF48" i="1"/>
  <c r="S48" i="1"/>
  <c r="P48" i="1"/>
  <c r="N48" i="1"/>
  <c r="L48" i="1"/>
  <c r="AF47" i="1"/>
  <c r="S47" i="1"/>
  <c r="P47" i="1"/>
  <c r="N47" i="1"/>
  <c r="L47" i="1"/>
  <c r="AF46" i="1"/>
  <c r="S46" i="1"/>
  <c r="P46" i="1"/>
  <c r="N46" i="1"/>
  <c r="L46" i="1"/>
  <c r="AF45" i="1"/>
  <c r="S45" i="1"/>
  <c r="P45" i="1"/>
  <c r="N45" i="1"/>
  <c r="L45" i="1"/>
  <c r="AF44" i="1"/>
  <c r="S44" i="1"/>
  <c r="P44" i="1"/>
  <c r="N44" i="1"/>
  <c r="L44" i="1"/>
  <c r="AF43" i="1"/>
  <c r="S43" i="1"/>
  <c r="P43" i="1"/>
  <c r="N43" i="1"/>
  <c r="L43" i="1"/>
  <c r="AF42" i="1"/>
  <c r="S42" i="1"/>
  <c r="P42" i="1"/>
  <c r="N42" i="1"/>
  <c r="L42" i="1"/>
  <c r="AF41" i="1"/>
  <c r="S41" i="1"/>
  <c r="P41" i="1"/>
  <c r="N41" i="1"/>
  <c r="L41" i="1"/>
  <c r="AF40" i="1"/>
  <c r="S40" i="1"/>
  <c r="P40" i="1"/>
  <c r="N40" i="1"/>
  <c r="L40" i="1"/>
  <c r="AF39" i="1"/>
  <c r="S39" i="1"/>
  <c r="P39" i="1"/>
  <c r="N39" i="1"/>
  <c r="L39" i="1"/>
  <c r="AF38" i="1"/>
  <c r="S38" i="1"/>
  <c r="P38" i="1"/>
  <c r="N38" i="1"/>
  <c r="L38" i="1"/>
  <c r="AF37" i="1"/>
  <c r="S37" i="1"/>
  <c r="P37" i="1"/>
  <c r="N37" i="1"/>
  <c r="L37" i="1"/>
  <c r="AF36" i="1"/>
  <c r="S36" i="1"/>
  <c r="P36" i="1"/>
  <c r="N36" i="1"/>
  <c r="L36" i="1"/>
  <c r="AF35" i="1"/>
  <c r="S35" i="1"/>
  <c r="P35" i="1"/>
  <c r="N35" i="1"/>
  <c r="L35" i="1"/>
  <c r="AF34" i="1"/>
  <c r="S34" i="1"/>
  <c r="P34" i="1"/>
  <c r="N34" i="1"/>
  <c r="L34" i="1"/>
  <c r="AF33" i="1"/>
  <c r="S33" i="1"/>
  <c r="P33" i="1"/>
  <c r="N33" i="1"/>
  <c r="L33" i="1"/>
  <c r="S32" i="1"/>
  <c r="P32" i="1"/>
  <c r="N32" i="1"/>
  <c r="L32" i="1"/>
  <c r="S31" i="1"/>
  <c r="P31" i="1"/>
  <c r="N31" i="1"/>
  <c r="L31" i="1"/>
  <c r="S30" i="1"/>
  <c r="P30" i="1"/>
  <c r="N30" i="1"/>
  <c r="L30" i="1"/>
  <c r="S29" i="1"/>
  <c r="P29" i="1"/>
  <c r="N29" i="1"/>
  <c r="L29" i="1"/>
  <c r="S28" i="1"/>
  <c r="P28" i="1"/>
  <c r="N28" i="1"/>
  <c r="L28"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<sst xmlns="http://schemas.openxmlformats.org/spreadsheetml/2006/main" count="719" uniqueCount="203">
  <si>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</si>
  <si>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</si>
  <si>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</si>
  <si>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</si>
  <si>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</si>
  <si>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</si>
  <si>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</si>
  <si>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</si>
  <si>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</si>
  <si>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</si>
  <si>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</si>
  <si>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</si>
  <si>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</si>
  <si>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</si>
  <si>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</si>
  <si>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</si>
  <si>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</si>
  <si>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</si>
  <si>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</si>
  <si>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</si>
  <si>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</si>
  <si>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</si>
  <si>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</si>
  <si>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</si>
  <si>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</si>
  <si>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</si>
  <si>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</si>
  <si>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</si>
  <si>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</si>
  <si>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</si>
  <si>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</si>
  <si>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</si>
  <si>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</si>
  <si>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</si>
  <si>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Hosakere Halli</t>
  </si>
  <si>
    <t>Padmanabha Nagara</t>
  </si>
  <si>
    <t>South</t>
  </si>
  <si>
    <t>161-17-000045</t>
  </si>
  <si>
    <t xml:space="preserve">Providing and fixing of LED Street lights in Ward No 161 in Padmanabnagar Division </t>
  </si>
  <si>
    <t>Footpaths &amp; Walkability</t>
  </si>
  <si>
    <t>M/S SMG Electricals (A.C.Ramesh)</t>
  </si>
  <si>
    <t>P3110</t>
  </si>
  <si>
    <t>14th Finance Commission Grant Works</t>
  </si>
  <si>
    <t>ddo258</t>
  </si>
  <si>
    <t xml:space="preserve"> Executive Engineer Electrical South Zone</t>
  </si>
  <si>
    <t>Pending</t>
  </si>
  <si>
    <t>May</t>
  </si>
  <si>
    <t>161-17-000036</t>
  </si>
  <si>
    <t>Reconstruction of Damaged and New Culverts in Manjunathnagar, T.G. Layout, Anjaneyanagar and Hosakerehalli in Ward No. 161</t>
  </si>
  <si>
    <t>Roads &amp; Drivablility</t>
  </si>
  <si>
    <t>DILEEP K C</t>
  </si>
  <si>
    <t>P1771</t>
  </si>
  <si>
    <t>Zone Works - POW Works</t>
  </si>
  <si>
    <t>ddo269</t>
  </si>
  <si>
    <t xml:space="preserve"> Assistant Executive Engineer Padmanabha Nagar South Zone</t>
  </si>
  <si>
    <t>161-17-000026</t>
  </si>
  <si>
    <t>Maintainance of ward office Premises in Ward No-161, Hosakerehalli</t>
  </si>
  <si>
    <t>Other Ward Works</t>
  </si>
  <si>
    <t>HEMANTH V</t>
  </si>
  <si>
    <t>161-17-000037</t>
  </si>
  <si>
    <t>Providing CC Paving to Conservancy from Anusuya Convention Hall to Muneshwara Temple of Dattatreyanagar in Ward No. 161</t>
  </si>
  <si>
    <t>NAGENDRA K</t>
  </si>
  <si>
    <t>June</t>
  </si>
  <si>
    <t>161-16-000009</t>
  </si>
  <si>
    <t>Emergency Work in Ward No-161.(Improvements and asphalting to hosakerehalli main road from Venkatappa layout main road to Srirama Temple of Hosakerehalli in Ward No 161</t>
  </si>
  <si>
    <t>K Udaykumar</t>
  </si>
  <si>
    <t>161-15-000022</t>
  </si>
  <si>
    <t>Providing RCC drain with Deck slab opposite to Hosakerehalli Bus stand (emergency flood work) in ward no 161</t>
  </si>
  <si>
    <t>RAMESH K N</t>
  </si>
  <si>
    <t>P0190</t>
  </si>
  <si>
    <t>Works sanctioned by Hon Mayor</t>
  </si>
  <si>
    <t>161-13-000032</t>
  </si>
  <si>
    <t>Providing CC Paving to cross roads near Muneshwara temple of Dattatreyanagar in ward no 161</t>
  </si>
  <si>
    <t>KRIDL</t>
  </si>
  <si>
    <t>P2178</t>
  </si>
  <si>
    <t>Works sanctioned by Dy. Mayor</t>
  </si>
  <si>
    <t>161-13-000044</t>
  </si>
  <si>
    <t>Construction of RCC culverts Improvements to drains and providing covering slabs to 23rd cross road of Ittamadu in ward no 161</t>
  </si>
  <si>
    <t xml:space="preserve">KRIDL </t>
  </si>
  <si>
    <t>161-13-000048</t>
  </si>
  <si>
    <t>Improvements to drains and Covering slabs to 50ft main road of Thimmarayagowda layout in ward no 161</t>
  </si>
  <si>
    <t>161-13-000027</t>
  </si>
  <si>
    <t>Improvements to drains and Providing Covering slabs to 6th main road and from Hosakerehalli main road to cross road of Venkatappa layout in ward no 161</t>
  </si>
  <si>
    <t>P2573</t>
  </si>
  <si>
    <t>Encouragement to Rural Sports (Marali ba Atada Maidhanakke) Dy Mayors discretionary</t>
  </si>
  <si>
    <t>161-13-000034</t>
  </si>
  <si>
    <t>Providing Patchwork for potholes and road cutting in ward no 161</t>
  </si>
  <si>
    <t>161-13-000020</t>
  </si>
  <si>
    <t xml:space="preserve">Improvements to drain and Asphalting to roads of Manjunathanagar and Ittamadu in ward No 161 </t>
  </si>
  <si>
    <t>P2201</t>
  </si>
  <si>
    <t>Assembly Constituency Development Works under BBMP</t>
  </si>
  <si>
    <t>161-17-000052</t>
  </si>
  <si>
    <t>Drilling of Borewells and Providing RO Plants in ward no 161</t>
  </si>
  <si>
    <t>Drinking Water</t>
  </si>
  <si>
    <t>TECHNICAL MANAGER (3) KRIDL</t>
  </si>
  <si>
    <t>Spill Over</t>
  </si>
  <si>
    <t>161-17-000053</t>
  </si>
  <si>
    <t>Improvements to roads and drain at ward 161 Hosakerehalli</t>
  </si>
  <si>
    <t>161-17-000051</t>
  </si>
  <si>
    <t>Providing CC Camera at Garbage Block Spots in ward no 161</t>
  </si>
  <si>
    <t>Crime &amp; Safety</t>
  </si>
  <si>
    <t>M/S Mamatha Electricals (P.M.Narasimha)</t>
  </si>
  <si>
    <t>161-17-000004</t>
  </si>
  <si>
    <t>Improvements to drain and providing B.S covering slabs with cement concrete to balance portion of 3rd cross road of Maruthinagar in ward no 161</t>
  </si>
  <si>
    <t>161-17-000005</t>
  </si>
  <si>
    <t>Improvements to drain and providing B.S covering slabs with cement concrete to balance portion of 4th cross road of Maruthinagar in ward no 161</t>
  </si>
  <si>
    <t>161-17-000006</t>
  </si>
  <si>
    <t>Improvements to drain and providing B.S covering slabs with cement concrete to balance portion of 5th cross road of Maruthinagar in ward no 161</t>
  </si>
  <si>
    <t>161-17-000007</t>
  </si>
  <si>
    <t>Improvements to drain and providing B.S covering slabs with cement concrete to balance portion of 6th cross road of Maruthinagar in ward no 161</t>
  </si>
  <si>
    <t>161-17-000008</t>
  </si>
  <si>
    <t>Improvements to drain and providing B.S covering slabs with cement concrete to balance portion of 7th cross road of Maruthinagar in ward no 161</t>
  </si>
  <si>
    <t>161-17-000009</t>
  </si>
  <si>
    <t>Providing and contrcuting RCC steps and CC road connecting Manjunathanagar and Maruthinagar in ward no 161</t>
  </si>
  <si>
    <t>161-13-000021</t>
  </si>
  <si>
    <t xml:space="preserve">Improvements to drain and Asphalting to roads of Dattatreyanagara in ward No 161 </t>
  </si>
  <si>
    <t>161-18-000011</t>
  </si>
  <si>
    <t>Improvements to drain and providing cement concrete of main roads of Kalidasnagar slum in Hosakerehalli in ward no 161</t>
  </si>
  <si>
    <t>P1878</t>
  </si>
  <si>
    <t>18per - Works (Bhagyajyothi, Sooru / Neeru Yojane and General) (54 Lakhs / New Wards)</t>
  </si>
  <si>
    <t>July</t>
  </si>
  <si>
    <t>161-13-000035</t>
  </si>
  <si>
    <t>Construction of RCC culverts Improvements to drains and providing covering slabs to 22nd cross road of Ittamadu in ward no 161</t>
  </si>
  <si>
    <t>161-16-000001</t>
  </si>
  <si>
    <t>Operation and Maintenance of Street Lighting System in Ward No.161 Package S-1 of South Zone</t>
  </si>
  <si>
    <t>Shree Bharathi Electricals (B.K.Bhaskar)</t>
  </si>
  <si>
    <t>P0300</t>
  </si>
  <si>
    <t>M and R to Street Lights - Replacement of Burnt Bulbs etc. (Package)</t>
  </si>
  <si>
    <t>161-16-000002</t>
  </si>
  <si>
    <t>Operation and Maintenance of Highmast street lighting system in Padmanabhanagar and Jayanagara Assembly Constuency (Ward No.161, 183, 182, 181, 180, 166, 165, 167 and 169, 168, 170, 171, 177, 178 and 179) Package S-31 of South Zone</t>
  </si>
  <si>
    <t>M/S Shree Bharathi Electricals</t>
  </si>
  <si>
    <t>161-17-000049</t>
  </si>
  <si>
    <t>Engagement of Gangman and Hiring of Tractor Tippers for cleaning and Maintenance of road side drains and other cleaning works in works in ward no 161</t>
  </si>
  <si>
    <t>S SATHISH</t>
  </si>
  <si>
    <t>August</t>
  </si>
  <si>
    <t>161-18-000012</t>
  </si>
  <si>
    <t>Improvements to drain and providing cement concrete of Maruthinagar slum in Hosakerhalli in ward no 161</t>
  </si>
  <si>
    <t>161-18-000008</t>
  </si>
  <si>
    <t>Constrcution of RCC culvert, improvements to drain and providing cement concrete to main roads and cross roads at AK colony Hosakerehalli in ward no 161</t>
  </si>
  <si>
    <t>September</t>
  </si>
  <si>
    <t>161-18-000013</t>
  </si>
  <si>
    <t>Providing cement concrete road to cross of Janashaktinagar Hosakerehalli ward no 161</t>
  </si>
  <si>
    <t>161-17-000028</t>
  </si>
  <si>
    <t>Improvements to drain and Providing B.S. Covering slabs to 5th Main and Cement Concreting to 1st A cross road of Dwarakanagar in Ward No. 161</t>
  </si>
  <si>
    <t>K S SRINIVASAN</t>
  </si>
  <si>
    <t>161-17-000035</t>
  </si>
  <si>
    <t>Improvements to drain and Providing B.S. Covering slabs to 1st Main road of Raghavendra Layout in Ward No. 161</t>
  </si>
  <si>
    <t>161-17-000034</t>
  </si>
  <si>
    <t>Construction of R.C.C Culvert, Desiting of Drain, Removing and Resetting of Drain and Providing Missing B.S Covering slabs to 3rd, 4th Main and 1st A cross road of Anjaneyanagar in Ward No. 161</t>
  </si>
  <si>
    <t>K M RAKESH</t>
  </si>
  <si>
    <t>161-17-000029</t>
  </si>
  <si>
    <t>Construction of R.C.C Culvert, Improvements to drain and Providing B.S. Covering slabs With Cement Concreting to 9th Main road(Ganesh Temple road) of Dwarakanagar in Ward No. 161</t>
  </si>
  <si>
    <t>161-16-000020</t>
  </si>
  <si>
    <t>Annual Electrical maintenance of Buildings at Padmanabhanagara Assembly Constituency 161</t>
  </si>
  <si>
    <t>Meghana Electricals</t>
  </si>
  <si>
    <t>P0294</t>
  </si>
  <si>
    <t>M and R to Electrical Inst in BMP Buildings, Schools, M.Homes, Community Halls, Markets and Others</t>
  </si>
  <si>
    <t>October</t>
  </si>
  <si>
    <t>161-17-000011</t>
  </si>
  <si>
    <t>Reconstruction of SSM Retaning wall in place of collapsed SWD at Kalidasa nagara (near ORR) and Hosakerehalli in ward no 161</t>
  </si>
  <si>
    <t>Storm Water Drains</t>
  </si>
  <si>
    <t>M/S KRIDL</t>
  </si>
  <si>
    <t>P0541</t>
  </si>
  <si>
    <t>Emergency Reserve Fund</t>
  </si>
  <si>
    <t>ddo313</t>
  </si>
  <si>
    <t xml:space="preserve"> Chief Engineer SWD Central Zone</t>
  </si>
  <si>
    <t>161-18-000010</t>
  </si>
  <si>
    <t>Improvements of Burial ground in ward no 161 at Hosakerehalli</t>
  </si>
  <si>
    <t>Public Amenities</t>
  </si>
  <si>
    <t>KRIDL  TECHNICAL MANAGER (3)</t>
  </si>
  <si>
    <t>November</t>
  </si>
  <si>
    <t>161-17-000013</t>
  </si>
  <si>
    <t>Asphalting to Dwarakanagar main Roads and cross roads and surrounding area in ward no 161</t>
  </si>
  <si>
    <t>P2415</t>
  </si>
  <si>
    <t>Reserve fund for TandF Committee</t>
  </si>
  <si>
    <t>161-18-000004</t>
  </si>
  <si>
    <t>Improvements to Roads and Drains Dwaraka Nagar and Venkatappa layout Eshwarinagar Hosakerehalli ward no 161</t>
  </si>
  <si>
    <t>R PURUSHOTHAMA</t>
  </si>
  <si>
    <t>161-18-000003</t>
  </si>
  <si>
    <t>Improvements to Roads and Drains Surrounding area of Sri Dathathreya Temple Hosakerehalli ward no 161</t>
  </si>
  <si>
    <t>M H SHIVAPPA</t>
  </si>
  <si>
    <t>December</t>
  </si>
  <si>
    <t>161-17-000012</t>
  </si>
  <si>
    <t>Asphalting to Kalidasa layaout and raghavendra layout and surrounding area in ward no 161</t>
  </si>
  <si>
    <t>Water &amp; Sanitary</t>
  </si>
  <si>
    <t>January</t>
  </si>
  <si>
    <t>161-17-000033</t>
  </si>
  <si>
    <t>Improvements to drain and Cement Concreting to Cross roads at Hosakerehalli Gramatana Near Solapurdamma Temple in Ward No. 161</t>
  </si>
  <si>
    <t>MADHU A L</t>
  </si>
  <si>
    <t>March</t>
  </si>
  <si>
    <t>161-18-000035</t>
  </si>
  <si>
    <t>Development works to Indira Canteen premises in ward no 161 Herohalli</t>
  </si>
  <si>
    <t>Indira Canteen</t>
  </si>
  <si>
    <t>P3106</t>
  </si>
  <si>
    <t>Nagarothana Works</t>
  </si>
  <si>
    <t>Current</t>
  </si>
  <si>
    <t>161-16-000015</t>
  </si>
  <si>
    <t>Providing and laying of 225 mm dia SW line at 2nd main road 6th main road, Dattatreya nagar and muneshwara temple road, BSK 3rd stage Hosakerhalli in ward no 161</t>
  </si>
  <si>
    <t>CHAIRMAN BWSSB</t>
  </si>
  <si>
    <t>P1802</t>
  </si>
  <si>
    <t>Water Supply New Areas</t>
  </si>
  <si>
    <t>161-16-000014</t>
  </si>
  <si>
    <t>Providing laying and linking 150x100 mm dia water supply pipeline with fixing of 100mm dia and 150mm dia valves at Muneshwara temple road behind muneshwara temple road, opp to Shiva temple Hosakerehalli road beside storm water drain, muneshwara temple road cross behind D.T Temple road, and some places of Hosakerehalli in ward no 161</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</si>
</sst>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xf numFmtId="0" fontId="2" fillId="0"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0"/>
  <sheetViews>
    <sheetView tabSelected="1" workbookViewId="0">
      <pane ySplit="1" topLeftCell="A2" activePane="bottomLeft" state="frozen"/>
      <selection activeCell="H1" sqref="H1"/>
      <selection pane="bottomLeft" activeCell="A2" sqref="A2:XFD50"/>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677</v>
      </c>
      <c r="B2" s="9" t="s">
        <v>33</v>
      </c>
      <c r="C2" s="10">
        <v>43215</v>
      </c>
      <c r="D2" s="11">
        <v>161</v>
      </c>
      <c r="E2" s="12" t="s">
        <v>34</v>
      </c>
      <c r="F2" s="12" t="s">
        <v>35</v>
      </c>
      <c r="G2" s="12" t="s">
        <v>35</v>
      </c>
      <c r="H2" s="12" t="s">
        <v>36</v>
      </c>
      <c r="I2" s="11" t="s">
        <v>37</v>
      </c>
      <c r="J2" s="12" t="s">
        <v>38</v>
      </c>
      <c r="K2" s="13" t="s">
        <v>39</v>
      </c>
      <c r="L2" s="11" t="str">
        <f>"000146"</f>
        <v>000146</v>
      </c>
      <c r="M2" s="10">
        <v>43129</v>
      </c>
      <c r="N2" s="11" t="str">
        <f>"000011"</f>
        <v>000011</v>
      </c>
      <c r="O2" s="10">
        <v>43189</v>
      </c>
      <c r="P2" s="11" t="str">
        <f>"000180"</f>
        <v>000180</v>
      </c>
      <c r="Q2" s="10">
        <v>43189</v>
      </c>
      <c r="R2" s="11">
        <v>17</v>
      </c>
      <c r="S2" s="11" t="str">
        <f>"000613"</f>
        <v>000613</v>
      </c>
      <c r="T2" s="10">
        <v>43209</v>
      </c>
      <c r="U2" s="14">
        <v>5.8922299999999996</v>
      </c>
      <c r="V2" s="14">
        <v>0.18265000000000001</v>
      </c>
      <c r="W2" s="14">
        <v>5.7095799999999999</v>
      </c>
      <c r="X2" s="11">
        <v>24</v>
      </c>
      <c r="Y2" s="10">
        <v>43215</v>
      </c>
      <c r="Z2" s="11">
        <v>9740870344</v>
      </c>
      <c r="AA2" s="12" t="s">
        <v>40</v>
      </c>
      <c r="AB2" s="11" t="s">
        <v>41</v>
      </c>
      <c r="AC2" s="12" t="s">
        <v>42</v>
      </c>
      <c r="AD2" s="11" t="s">
        <v>43</v>
      </c>
      <c r="AE2" s="12" t="s">
        <v>44</v>
      </c>
      <c r="AF2" s="14">
        <v>5.8922299999999997E-2</v>
      </c>
      <c r="AG2" s="11" t="s">
        <v>45</v>
      </c>
    </row>
    <row r="3" spans="1:33" x14ac:dyDescent="0.2">
      <c r="A3" s="8">
        <v>1019</v>
      </c>
      <c r="B3" s="9" t="s">
        <v>46</v>
      </c>
      <c r="C3" s="10">
        <v>43229</v>
      </c>
      <c r="D3" s="11">
        <v>161</v>
      </c>
      <c r="E3" s="12" t="s">
        <v>34</v>
      </c>
      <c r="F3" s="12" t="s">
        <v>35</v>
      </c>
      <c r="G3" s="12" t="s">
        <v>35</v>
      </c>
      <c r="H3" s="12" t="s">
        <v>36</v>
      </c>
      <c r="I3" s="11" t="s">
        <v>47</v>
      </c>
      <c r="J3" s="12" t="s">
        <v>48</v>
      </c>
      <c r="K3" s="13" t="s">
        <v>49</v>
      </c>
      <c r="L3" s="11" t="str">
        <f>"000091"</f>
        <v>000091</v>
      </c>
      <c r="M3" s="10">
        <v>42801</v>
      </c>
      <c r="N3" s="11" t="str">
        <f>"000025"</f>
        <v>000025</v>
      </c>
      <c r="O3" s="10">
        <v>43024</v>
      </c>
      <c r="P3" s="11" t="str">
        <f>"000029"</f>
        <v>000029</v>
      </c>
      <c r="Q3" s="10">
        <v>43024</v>
      </c>
      <c r="R3" s="11">
        <v>17</v>
      </c>
      <c r="S3" s="11" t="str">
        <f>"001285"</f>
        <v>001285</v>
      </c>
      <c r="T3" s="10">
        <v>43228</v>
      </c>
      <c r="U3" s="14">
        <v>14.167299999999999</v>
      </c>
      <c r="V3" s="14">
        <v>11.027380000000001</v>
      </c>
      <c r="W3" s="14">
        <v>3.13992</v>
      </c>
      <c r="X3" s="11">
        <v>45</v>
      </c>
      <c r="Y3" s="10">
        <v>43229</v>
      </c>
      <c r="Z3" s="11">
        <v>9986004963</v>
      </c>
      <c r="AA3" s="12" t="s">
        <v>50</v>
      </c>
      <c r="AB3" s="11" t="s">
        <v>51</v>
      </c>
      <c r="AC3" s="12" t="s">
        <v>52</v>
      </c>
      <c r="AD3" s="11" t="s">
        <v>53</v>
      </c>
      <c r="AE3" s="12" t="s">
        <v>54</v>
      </c>
      <c r="AF3" s="14">
        <v>0.14167299999999999</v>
      </c>
      <c r="AG3" s="11" t="s">
        <v>45</v>
      </c>
    </row>
    <row r="4" spans="1:33" x14ac:dyDescent="0.2">
      <c r="A4" s="8">
        <v>1454</v>
      </c>
      <c r="B4" s="9" t="s">
        <v>46</v>
      </c>
      <c r="C4" s="10">
        <v>43242</v>
      </c>
      <c r="D4" s="11">
        <v>161</v>
      </c>
      <c r="E4" s="12" t="s">
        <v>34</v>
      </c>
      <c r="F4" s="12" t="s">
        <v>35</v>
      </c>
      <c r="G4" s="12" t="s">
        <v>35</v>
      </c>
      <c r="H4" s="12" t="s">
        <v>36</v>
      </c>
      <c r="I4" s="11" t="s">
        <v>55</v>
      </c>
      <c r="J4" s="12" t="s">
        <v>56</v>
      </c>
      <c r="K4" s="13" t="s">
        <v>57</v>
      </c>
      <c r="L4" s="11" t="str">
        <f>"000090"</f>
        <v>000090</v>
      </c>
      <c r="M4" s="10">
        <v>42826</v>
      </c>
      <c r="N4" s="11" t="str">
        <f>"000044"</f>
        <v>000044</v>
      </c>
      <c r="O4" s="10">
        <v>42861</v>
      </c>
      <c r="P4" s="11" t="str">
        <f>"000034"</f>
        <v>000034</v>
      </c>
      <c r="Q4" s="10">
        <v>42861</v>
      </c>
      <c r="R4" s="11">
        <v>17</v>
      </c>
      <c r="S4" s="11" t="str">
        <f>"001683"</f>
        <v>001683</v>
      </c>
      <c r="T4" s="10">
        <v>43241</v>
      </c>
      <c r="U4" s="14">
        <v>5.5468999999999999</v>
      </c>
      <c r="V4" s="14">
        <v>0.68505000000000005</v>
      </c>
      <c r="W4" s="14">
        <v>4.8618499999999996</v>
      </c>
      <c r="X4" s="11">
        <v>58</v>
      </c>
      <c r="Y4" s="10">
        <v>43242</v>
      </c>
      <c r="Z4" s="11">
        <v>9663365255</v>
      </c>
      <c r="AA4" s="12" t="s">
        <v>58</v>
      </c>
      <c r="AB4" s="11" t="s">
        <v>51</v>
      </c>
      <c r="AC4" s="12" t="s">
        <v>52</v>
      </c>
      <c r="AD4" s="11" t="s">
        <v>53</v>
      </c>
      <c r="AE4" s="12" t="s">
        <v>54</v>
      </c>
      <c r="AF4" s="14">
        <v>5.5468999999999997E-2</v>
      </c>
      <c r="AG4" s="11" t="s">
        <v>45</v>
      </c>
    </row>
    <row r="5" spans="1:33" x14ac:dyDescent="0.2">
      <c r="A5" s="8">
        <v>1455</v>
      </c>
      <c r="B5" s="9" t="s">
        <v>46</v>
      </c>
      <c r="C5" s="10">
        <v>43242</v>
      </c>
      <c r="D5" s="11">
        <v>161</v>
      </c>
      <c r="E5" s="12" t="s">
        <v>34</v>
      </c>
      <c r="F5" s="12" t="s">
        <v>35</v>
      </c>
      <c r="G5" s="12" t="s">
        <v>35</v>
      </c>
      <c r="H5" s="12" t="s">
        <v>36</v>
      </c>
      <c r="I5" s="11" t="s">
        <v>59</v>
      </c>
      <c r="J5" s="12" t="s">
        <v>60</v>
      </c>
      <c r="K5" s="13" t="s">
        <v>57</v>
      </c>
      <c r="L5" s="11" t="str">
        <f>"000060"</f>
        <v>000060</v>
      </c>
      <c r="M5" s="10">
        <v>42796</v>
      </c>
      <c r="N5" s="11" t="str">
        <f>"000014"</f>
        <v>000014</v>
      </c>
      <c r="O5" s="10">
        <v>42991</v>
      </c>
      <c r="P5" s="11" t="str">
        <f>"000024"</f>
        <v>000024</v>
      </c>
      <c r="Q5" s="10">
        <v>43001</v>
      </c>
      <c r="R5" s="11">
        <v>17</v>
      </c>
      <c r="S5" s="11" t="str">
        <f>"001607"</f>
        <v>001607</v>
      </c>
      <c r="T5" s="10">
        <v>43239</v>
      </c>
      <c r="U5" s="14">
        <v>10.9429</v>
      </c>
      <c r="V5" s="14">
        <v>1.2773000000000001</v>
      </c>
      <c r="W5" s="14">
        <v>9.6655999999999995</v>
      </c>
      <c r="X5" s="11">
        <v>60</v>
      </c>
      <c r="Y5" s="10">
        <v>43242</v>
      </c>
      <c r="Z5" s="11">
        <v>8951822368</v>
      </c>
      <c r="AA5" s="12" t="s">
        <v>61</v>
      </c>
      <c r="AB5" s="11" t="s">
        <v>51</v>
      </c>
      <c r="AC5" s="12" t="s">
        <v>52</v>
      </c>
      <c r="AD5" s="11" t="s">
        <v>53</v>
      </c>
      <c r="AE5" s="12" t="s">
        <v>54</v>
      </c>
      <c r="AF5" s="14">
        <v>0.109429</v>
      </c>
      <c r="AG5" s="11" t="s">
        <v>45</v>
      </c>
    </row>
    <row r="6" spans="1:33" x14ac:dyDescent="0.2">
      <c r="A6" s="8">
        <v>1893</v>
      </c>
      <c r="B6" s="9" t="s">
        <v>62</v>
      </c>
      <c r="C6" s="10">
        <v>43257</v>
      </c>
      <c r="D6" s="11">
        <v>161</v>
      </c>
      <c r="E6" s="12" t="s">
        <v>34</v>
      </c>
      <c r="F6" s="12" t="s">
        <v>35</v>
      </c>
      <c r="G6" s="12" t="s">
        <v>35</v>
      </c>
      <c r="H6" s="12" t="s">
        <v>36</v>
      </c>
      <c r="I6" s="11" t="s">
        <v>63</v>
      </c>
      <c r="J6" s="12" t="s">
        <v>64</v>
      </c>
      <c r="K6" s="13" t="s">
        <v>49</v>
      </c>
      <c r="L6" s="11" t="str">
        <f>"*00026"</f>
        <v>*00026</v>
      </c>
      <c r="M6" s="10">
        <v>42559</v>
      </c>
      <c r="N6" s="11" t="str">
        <f>"000158"</f>
        <v>000158</v>
      </c>
      <c r="O6" s="10">
        <v>42620</v>
      </c>
      <c r="P6" s="11" t="str">
        <f>"000269"</f>
        <v>000269</v>
      </c>
      <c r="Q6" s="10">
        <v>42620</v>
      </c>
      <c r="R6" s="11">
        <v>16</v>
      </c>
      <c r="S6" s="11" t="str">
        <f>"002104"</f>
        <v>002104</v>
      </c>
      <c r="T6" s="10">
        <v>43253</v>
      </c>
      <c r="U6" s="14">
        <v>14.827819999999999</v>
      </c>
      <c r="V6" s="14">
        <v>1.8928199999999999</v>
      </c>
      <c r="W6" s="14">
        <v>12.935</v>
      </c>
      <c r="X6" s="11">
        <v>71</v>
      </c>
      <c r="Y6" s="10">
        <v>43257</v>
      </c>
      <c r="Z6" s="11">
        <v>9845183166</v>
      </c>
      <c r="AA6" s="12" t="s">
        <v>65</v>
      </c>
      <c r="AB6" s="11" t="s">
        <v>51</v>
      </c>
      <c r="AC6" s="12" t="s">
        <v>52</v>
      </c>
      <c r="AD6" s="11" t="s">
        <v>53</v>
      </c>
      <c r="AE6" s="12" t="s">
        <v>54</v>
      </c>
      <c r="AF6" s="14">
        <v>0.1482782</v>
      </c>
      <c r="AG6" s="11" t="s">
        <v>45</v>
      </c>
    </row>
    <row r="7" spans="1:33" x14ac:dyDescent="0.2">
      <c r="A7" s="8">
        <v>1894</v>
      </c>
      <c r="B7" s="9" t="s">
        <v>62</v>
      </c>
      <c r="C7" s="10">
        <v>43257</v>
      </c>
      <c r="D7" s="11">
        <v>161</v>
      </c>
      <c r="E7" s="12" t="s">
        <v>34</v>
      </c>
      <c r="F7" s="12" t="s">
        <v>35</v>
      </c>
      <c r="G7" s="12" t="s">
        <v>35</v>
      </c>
      <c r="H7" s="12" t="s">
        <v>36</v>
      </c>
      <c r="I7" s="11" t="s">
        <v>66</v>
      </c>
      <c r="J7" s="12" t="s">
        <v>67</v>
      </c>
      <c r="K7" s="13" t="s">
        <v>39</v>
      </c>
      <c r="L7" s="11" t="str">
        <f>"000052"</f>
        <v>000052</v>
      </c>
      <c r="M7" s="10">
        <v>42331</v>
      </c>
      <c r="N7" s="11" t="str">
        <f>"000149"</f>
        <v>000149</v>
      </c>
      <c r="O7" s="10">
        <v>42619</v>
      </c>
      <c r="P7" s="11" t="str">
        <f>"000274"</f>
        <v>000274</v>
      </c>
      <c r="Q7" s="10">
        <v>42621</v>
      </c>
      <c r="R7" s="11">
        <v>15</v>
      </c>
      <c r="S7" s="11" t="str">
        <f>"002106"</f>
        <v>002106</v>
      </c>
      <c r="T7" s="10">
        <v>43253</v>
      </c>
      <c r="U7" s="14">
        <v>26.30865</v>
      </c>
      <c r="V7" s="14">
        <v>3.6801499999999998</v>
      </c>
      <c r="W7" s="14">
        <v>22.628499999999999</v>
      </c>
      <c r="X7" s="11">
        <v>71</v>
      </c>
      <c r="Y7" s="10">
        <v>43257</v>
      </c>
      <c r="Z7" s="11">
        <v>9480336101</v>
      </c>
      <c r="AA7" s="12" t="s">
        <v>68</v>
      </c>
      <c r="AB7" s="11" t="s">
        <v>69</v>
      </c>
      <c r="AC7" s="12" t="s">
        <v>70</v>
      </c>
      <c r="AD7" s="11" t="s">
        <v>53</v>
      </c>
      <c r="AE7" s="12" t="s">
        <v>54</v>
      </c>
      <c r="AF7" s="14">
        <v>0.2630865</v>
      </c>
      <c r="AG7" s="11" t="s">
        <v>45</v>
      </c>
    </row>
    <row r="8" spans="1:33" x14ac:dyDescent="0.2">
      <c r="A8" s="8">
        <v>1895</v>
      </c>
      <c r="B8" s="9" t="s">
        <v>62</v>
      </c>
      <c r="C8" s="10">
        <v>43257</v>
      </c>
      <c r="D8" s="11">
        <v>161</v>
      </c>
      <c r="E8" s="12" t="s">
        <v>34</v>
      </c>
      <c r="F8" s="12" t="s">
        <v>35</v>
      </c>
      <c r="G8" s="12" t="s">
        <v>35</v>
      </c>
      <c r="H8" s="12" t="s">
        <v>36</v>
      </c>
      <c r="I8" s="11" t="s">
        <v>71</v>
      </c>
      <c r="J8" s="12" t="s">
        <v>72</v>
      </c>
      <c r="K8" s="13" t="s">
        <v>57</v>
      </c>
      <c r="L8" s="11" t="str">
        <f>"000212"</f>
        <v>000212</v>
      </c>
      <c r="M8" s="10">
        <v>41335</v>
      </c>
      <c r="N8" s="11" t="str">
        <f>"000151"</f>
        <v>000151</v>
      </c>
      <c r="O8" s="10">
        <v>42619</v>
      </c>
      <c r="P8" s="11" t="str">
        <f>"000276"</f>
        <v>000276</v>
      </c>
      <c r="Q8" s="10">
        <v>42621</v>
      </c>
      <c r="R8" s="11">
        <v>13</v>
      </c>
      <c r="S8" s="11" t="str">
        <f>"002107"</f>
        <v>002107</v>
      </c>
      <c r="T8" s="10">
        <v>43253</v>
      </c>
      <c r="U8" s="14">
        <v>23.785</v>
      </c>
      <c r="V8" s="14">
        <v>4.0329499999999996</v>
      </c>
      <c r="W8" s="14">
        <v>19.752050000000001</v>
      </c>
      <c r="X8" s="11">
        <v>71</v>
      </c>
      <c r="Y8" s="10">
        <v>43257</v>
      </c>
      <c r="Z8" s="11">
        <v>9986697126</v>
      </c>
      <c r="AA8" s="12" t="s">
        <v>73</v>
      </c>
      <c r="AB8" s="11" t="s">
        <v>74</v>
      </c>
      <c r="AC8" s="12" t="s">
        <v>75</v>
      </c>
      <c r="AD8" s="11" t="s">
        <v>53</v>
      </c>
      <c r="AE8" s="12" t="s">
        <v>54</v>
      </c>
      <c r="AF8" s="14">
        <v>0.23785000000000001</v>
      </c>
      <c r="AG8" s="11" t="s">
        <v>45</v>
      </c>
    </row>
    <row r="9" spans="1:33" x14ac:dyDescent="0.2">
      <c r="A9" s="8">
        <v>1896</v>
      </c>
      <c r="B9" s="9" t="s">
        <v>62</v>
      </c>
      <c r="C9" s="10">
        <v>43257</v>
      </c>
      <c r="D9" s="11">
        <v>161</v>
      </c>
      <c r="E9" s="12" t="s">
        <v>34</v>
      </c>
      <c r="F9" s="12" t="s">
        <v>35</v>
      </c>
      <c r="G9" s="12" t="s">
        <v>35</v>
      </c>
      <c r="H9" s="12" t="s">
        <v>36</v>
      </c>
      <c r="I9" s="11" t="s">
        <v>76</v>
      </c>
      <c r="J9" s="12" t="s">
        <v>77</v>
      </c>
      <c r="K9" s="13" t="s">
        <v>39</v>
      </c>
      <c r="L9" s="11" t="str">
        <f>"000203"</f>
        <v>000203</v>
      </c>
      <c r="M9" s="10">
        <v>41335</v>
      </c>
      <c r="N9" s="11" t="str">
        <f>"000152"</f>
        <v>000152</v>
      </c>
      <c r="O9" s="10">
        <v>42619</v>
      </c>
      <c r="P9" s="11" t="str">
        <f>"000277"</f>
        <v>000277</v>
      </c>
      <c r="Q9" s="10">
        <v>42621</v>
      </c>
      <c r="R9" s="11">
        <v>13</v>
      </c>
      <c r="S9" s="11" t="str">
        <f>"002108"</f>
        <v>002108</v>
      </c>
      <c r="T9" s="10">
        <v>43253</v>
      </c>
      <c r="U9" s="14">
        <v>11.2972</v>
      </c>
      <c r="V9" s="14">
        <v>1.9363999999999999</v>
      </c>
      <c r="W9" s="14">
        <v>9.3607999999999993</v>
      </c>
      <c r="X9" s="11">
        <v>71</v>
      </c>
      <c r="Y9" s="10">
        <v>43257</v>
      </c>
      <c r="Z9" s="11">
        <v>9986697126</v>
      </c>
      <c r="AA9" s="12" t="s">
        <v>78</v>
      </c>
      <c r="AB9" s="11" t="s">
        <v>69</v>
      </c>
      <c r="AC9" s="12" t="s">
        <v>70</v>
      </c>
      <c r="AD9" s="11" t="s">
        <v>53</v>
      </c>
      <c r="AE9" s="12" t="s">
        <v>54</v>
      </c>
      <c r="AF9" s="14">
        <v>0.112972</v>
      </c>
      <c r="AG9" s="11" t="s">
        <v>45</v>
      </c>
    </row>
    <row r="10" spans="1:33" x14ac:dyDescent="0.2">
      <c r="A10" s="8">
        <v>1897</v>
      </c>
      <c r="B10" s="9" t="s">
        <v>62</v>
      </c>
      <c r="C10" s="10">
        <v>43257</v>
      </c>
      <c r="D10" s="11">
        <v>161</v>
      </c>
      <c r="E10" s="12" t="s">
        <v>34</v>
      </c>
      <c r="F10" s="12" t="s">
        <v>35</v>
      </c>
      <c r="G10" s="12" t="s">
        <v>35</v>
      </c>
      <c r="H10" s="12" t="s">
        <v>36</v>
      </c>
      <c r="I10" s="11" t="s">
        <v>79</v>
      </c>
      <c r="J10" s="12" t="s">
        <v>80</v>
      </c>
      <c r="K10" s="13" t="s">
        <v>39</v>
      </c>
      <c r="L10" s="11" t="str">
        <f>"000337"</f>
        <v>000337</v>
      </c>
      <c r="M10" s="10">
        <v>41338</v>
      </c>
      <c r="N10" s="11" t="str">
        <f>"000153"</f>
        <v>000153</v>
      </c>
      <c r="O10" s="10">
        <v>42619</v>
      </c>
      <c r="P10" s="11" t="str">
        <f>"000278"</f>
        <v>000278</v>
      </c>
      <c r="Q10" s="10">
        <v>42621</v>
      </c>
      <c r="R10" s="11">
        <v>13</v>
      </c>
      <c r="S10" s="11" t="str">
        <f>"002109"</f>
        <v>002109</v>
      </c>
      <c r="T10" s="10">
        <v>43253</v>
      </c>
      <c r="U10" s="14">
        <v>18.6142</v>
      </c>
      <c r="V10" s="14">
        <v>3.0261999999999998</v>
      </c>
      <c r="W10" s="14">
        <v>15.587999999999999</v>
      </c>
      <c r="X10" s="11">
        <v>71</v>
      </c>
      <c r="Y10" s="10">
        <v>43257</v>
      </c>
      <c r="Z10" s="11">
        <v>9986697126</v>
      </c>
      <c r="AA10" s="12" t="s">
        <v>73</v>
      </c>
      <c r="AB10" s="11" t="s">
        <v>74</v>
      </c>
      <c r="AC10" s="12" t="s">
        <v>75</v>
      </c>
      <c r="AD10" s="11" t="s">
        <v>53</v>
      </c>
      <c r="AE10" s="12" t="s">
        <v>54</v>
      </c>
      <c r="AF10" s="14">
        <v>0.186142</v>
      </c>
      <c r="AG10" s="11" t="s">
        <v>45</v>
      </c>
    </row>
    <row r="11" spans="1:33" x14ac:dyDescent="0.2">
      <c r="A11" s="8">
        <v>1898</v>
      </c>
      <c r="B11" s="9" t="s">
        <v>62</v>
      </c>
      <c r="C11" s="10">
        <v>43257</v>
      </c>
      <c r="D11" s="11">
        <v>161</v>
      </c>
      <c r="E11" s="12" t="s">
        <v>34</v>
      </c>
      <c r="F11" s="12" t="s">
        <v>35</v>
      </c>
      <c r="G11" s="12" t="s">
        <v>35</v>
      </c>
      <c r="H11" s="12" t="s">
        <v>36</v>
      </c>
      <c r="I11" s="11" t="s">
        <v>81</v>
      </c>
      <c r="J11" s="12" t="s">
        <v>82</v>
      </c>
      <c r="K11" s="13" t="s">
        <v>39</v>
      </c>
      <c r="L11" s="11" t="str">
        <f>"000189"</f>
        <v>000189</v>
      </c>
      <c r="M11" s="10">
        <v>41335</v>
      </c>
      <c r="N11" s="11" t="str">
        <f>"000155"</f>
        <v>000155</v>
      </c>
      <c r="O11" s="10">
        <v>42620</v>
      </c>
      <c r="P11" s="11" t="str">
        <f>"000280"</f>
        <v>000280</v>
      </c>
      <c r="Q11" s="10">
        <v>42621</v>
      </c>
      <c r="R11" s="11">
        <v>13</v>
      </c>
      <c r="S11" s="11" t="str">
        <f>"002110"</f>
        <v>002110</v>
      </c>
      <c r="T11" s="10">
        <v>43253</v>
      </c>
      <c r="U11" s="14">
        <v>21.119350000000001</v>
      </c>
      <c r="V11" s="14">
        <v>3.7700999999999998</v>
      </c>
      <c r="W11" s="14">
        <v>17.349250000000001</v>
      </c>
      <c r="X11" s="11">
        <v>71</v>
      </c>
      <c r="Y11" s="10">
        <v>43257</v>
      </c>
      <c r="Z11" s="11">
        <v>9986697126</v>
      </c>
      <c r="AA11" s="12" t="s">
        <v>73</v>
      </c>
      <c r="AB11" s="11" t="s">
        <v>83</v>
      </c>
      <c r="AC11" s="12" t="s">
        <v>84</v>
      </c>
      <c r="AD11" s="11" t="s">
        <v>53</v>
      </c>
      <c r="AE11" s="12" t="s">
        <v>54</v>
      </c>
      <c r="AF11" s="14">
        <v>0.21119350000000001</v>
      </c>
      <c r="AG11" s="11" t="s">
        <v>45</v>
      </c>
    </row>
    <row r="12" spans="1:33" x14ac:dyDescent="0.2">
      <c r="A12" s="8">
        <v>1899</v>
      </c>
      <c r="B12" s="9" t="s">
        <v>62</v>
      </c>
      <c r="C12" s="10">
        <v>43257</v>
      </c>
      <c r="D12" s="11">
        <v>161</v>
      </c>
      <c r="E12" s="12" t="s">
        <v>34</v>
      </c>
      <c r="F12" s="12" t="s">
        <v>35</v>
      </c>
      <c r="G12" s="12" t="s">
        <v>35</v>
      </c>
      <c r="H12" s="12" t="s">
        <v>36</v>
      </c>
      <c r="I12" s="11" t="s">
        <v>85</v>
      </c>
      <c r="J12" s="12" t="s">
        <v>86</v>
      </c>
      <c r="K12" s="13" t="s">
        <v>49</v>
      </c>
      <c r="L12" s="11" t="str">
        <f>"000084"</f>
        <v>000084</v>
      </c>
      <c r="M12" s="10">
        <v>41989</v>
      </c>
      <c r="N12" s="11" t="str">
        <f>"00 143"</f>
        <v>00 143</v>
      </c>
      <c r="O12" s="10">
        <v>42613</v>
      </c>
      <c r="P12" s="11" t="str">
        <f>"000287"</f>
        <v>000287</v>
      </c>
      <c r="Q12" s="10">
        <v>42627</v>
      </c>
      <c r="R12" s="11">
        <v>13</v>
      </c>
      <c r="S12" s="11" t="str">
        <f>"002157"</f>
        <v>002157</v>
      </c>
      <c r="T12" s="10">
        <v>43255</v>
      </c>
      <c r="U12" s="14">
        <v>10.9763</v>
      </c>
      <c r="V12" s="14">
        <v>2.2350500000000002</v>
      </c>
      <c r="W12" s="14">
        <v>8.7412500000000009</v>
      </c>
      <c r="X12" s="11">
        <v>71</v>
      </c>
      <c r="Y12" s="10">
        <v>43257</v>
      </c>
      <c r="Z12" s="11">
        <v>9986697126</v>
      </c>
      <c r="AA12" s="12" t="s">
        <v>78</v>
      </c>
      <c r="AB12" s="11" t="s">
        <v>74</v>
      </c>
      <c r="AC12" s="12" t="s">
        <v>75</v>
      </c>
      <c r="AD12" s="11" t="s">
        <v>53</v>
      </c>
      <c r="AE12" s="12" t="s">
        <v>54</v>
      </c>
      <c r="AF12" s="14">
        <v>0.109763</v>
      </c>
      <c r="AG12" s="11" t="s">
        <v>45</v>
      </c>
    </row>
    <row r="13" spans="1:33" x14ac:dyDescent="0.2">
      <c r="A13" s="8">
        <v>1900</v>
      </c>
      <c r="B13" s="9" t="s">
        <v>62</v>
      </c>
      <c r="C13" s="10">
        <v>43257</v>
      </c>
      <c r="D13" s="11">
        <v>161</v>
      </c>
      <c r="E13" s="12" t="s">
        <v>34</v>
      </c>
      <c r="F13" s="12" t="s">
        <v>35</v>
      </c>
      <c r="G13" s="12" t="s">
        <v>35</v>
      </c>
      <c r="H13" s="12" t="s">
        <v>36</v>
      </c>
      <c r="I13" s="11" t="s">
        <v>87</v>
      </c>
      <c r="J13" s="12" t="s">
        <v>88</v>
      </c>
      <c r="K13" s="13" t="s">
        <v>49</v>
      </c>
      <c r="L13" s="11" t="str">
        <f>"000086"</f>
        <v>000086</v>
      </c>
      <c r="M13" s="10">
        <v>41989</v>
      </c>
      <c r="N13" s="11" t="str">
        <f>"00 144"</f>
        <v>00 144</v>
      </c>
      <c r="O13" s="10">
        <v>42613</v>
      </c>
      <c r="P13" s="11" t="str">
        <f>"000288"</f>
        <v>000288</v>
      </c>
      <c r="Q13" s="10">
        <v>42627</v>
      </c>
      <c r="R13" s="11">
        <v>13</v>
      </c>
      <c r="S13" s="11" t="str">
        <f>"002160"</f>
        <v>002160</v>
      </c>
      <c r="T13" s="10">
        <v>43255</v>
      </c>
      <c r="U13" s="14">
        <v>45.0899</v>
      </c>
      <c r="V13" s="14">
        <v>7.6371000000000002</v>
      </c>
      <c r="W13" s="14">
        <v>37.452800000000003</v>
      </c>
      <c r="X13" s="11">
        <v>71</v>
      </c>
      <c r="Y13" s="10">
        <v>43257</v>
      </c>
      <c r="Z13" s="11">
        <v>9986697126</v>
      </c>
      <c r="AA13" s="12" t="s">
        <v>73</v>
      </c>
      <c r="AB13" s="11" t="s">
        <v>89</v>
      </c>
      <c r="AC13" s="12" t="s">
        <v>90</v>
      </c>
      <c r="AD13" s="11" t="s">
        <v>53</v>
      </c>
      <c r="AE13" s="12" t="s">
        <v>54</v>
      </c>
      <c r="AF13" s="14">
        <v>0.45089899999999999</v>
      </c>
      <c r="AG13" s="11" t="s">
        <v>45</v>
      </c>
    </row>
    <row r="14" spans="1:33" x14ac:dyDescent="0.2">
      <c r="A14" s="8">
        <v>1901</v>
      </c>
      <c r="B14" s="9" t="s">
        <v>62</v>
      </c>
      <c r="C14" s="10">
        <v>43257</v>
      </c>
      <c r="D14" s="11">
        <v>161</v>
      </c>
      <c r="E14" s="12" t="s">
        <v>34</v>
      </c>
      <c r="F14" s="12" t="s">
        <v>35</v>
      </c>
      <c r="G14" s="12" t="s">
        <v>35</v>
      </c>
      <c r="H14" s="12" t="s">
        <v>36</v>
      </c>
      <c r="I14" s="11" t="s">
        <v>91</v>
      </c>
      <c r="J14" s="12" t="s">
        <v>92</v>
      </c>
      <c r="K14" s="13" t="s">
        <v>93</v>
      </c>
      <c r="L14" s="11" t="str">
        <f>"000073"</f>
        <v>000073</v>
      </c>
      <c r="M14" s="10">
        <v>43103</v>
      </c>
      <c r="N14" s="11" t="str">
        <f>"000009"</f>
        <v>000009</v>
      </c>
      <c r="O14" s="10">
        <v>43234</v>
      </c>
      <c r="P14" s="11" t="str">
        <f>"000008"</f>
        <v>000008</v>
      </c>
      <c r="Q14" s="10">
        <v>43237</v>
      </c>
      <c r="R14" s="11">
        <v>17</v>
      </c>
      <c r="S14" s="11" t="str">
        <f>"002057"</f>
        <v>002057</v>
      </c>
      <c r="T14" s="10">
        <v>43249</v>
      </c>
      <c r="U14" s="14">
        <v>57.209699999999998</v>
      </c>
      <c r="V14" s="14">
        <v>6.4409000000000001</v>
      </c>
      <c r="W14" s="14">
        <v>50.768799999999999</v>
      </c>
      <c r="X14" s="11">
        <v>72</v>
      </c>
      <c r="Y14" s="10">
        <v>43257</v>
      </c>
      <c r="Z14" s="11">
        <v>9986697126</v>
      </c>
      <c r="AA14" s="12" t="s">
        <v>94</v>
      </c>
      <c r="AB14" s="11" t="s">
        <v>41</v>
      </c>
      <c r="AC14" s="12" t="s">
        <v>42</v>
      </c>
      <c r="AD14" s="11" t="s">
        <v>53</v>
      </c>
      <c r="AE14" s="12" t="s">
        <v>54</v>
      </c>
      <c r="AF14" s="14">
        <v>0.57209699999999997</v>
      </c>
      <c r="AG14" s="11" t="s">
        <v>95</v>
      </c>
    </row>
    <row r="15" spans="1:33" x14ac:dyDescent="0.2">
      <c r="A15" s="8">
        <v>1902</v>
      </c>
      <c r="B15" s="9" t="s">
        <v>62</v>
      </c>
      <c r="C15" s="10">
        <v>43257</v>
      </c>
      <c r="D15" s="11">
        <v>161</v>
      </c>
      <c r="E15" s="12" t="s">
        <v>34</v>
      </c>
      <c r="F15" s="12" t="s">
        <v>35</v>
      </c>
      <c r="G15" s="12" t="s">
        <v>35</v>
      </c>
      <c r="H15" s="12" t="s">
        <v>36</v>
      </c>
      <c r="I15" s="11" t="s">
        <v>96</v>
      </c>
      <c r="J15" s="12" t="s">
        <v>97</v>
      </c>
      <c r="K15" s="13" t="s">
        <v>49</v>
      </c>
      <c r="L15" s="11" t="str">
        <f>"000044"</f>
        <v>000044</v>
      </c>
      <c r="M15" s="10">
        <v>43036</v>
      </c>
      <c r="N15" s="11" t="str">
        <f>"000010"</f>
        <v>000010</v>
      </c>
      <c r="O15" s="10">
        <v>43234</v>
      </c>
      <c r="P15" s="11" t="str">
        <f>"000009"</f>
        <v>000009</v>
      </c>
      <c r="Q15" s="10">
        <v>43237</v>
      </c>
      <c r="R15" s="11">
        <v>17</v>
      </c>
      <c r="S15" s="11" t="str">
        <f>"002058"</f>
        <v>002058</v>
      </c>
      <c r="T15" s="10">
        <v>43249</v>
      </c>
      <c r="U15" s="14">
        <v>48.920250000000003</v>
      </c>
      <c r="V15" s="14">
        <v>6.0873400000000002</v>
      </c>
      <c r="W15" s="14">
        <v>42.832909999999998</v>
      </c>
      <c r="X15" s="11">
        <v>72</v>
      </c>
      <c r="Y15" s="10">
        <v>43257</v>
      </c>
      <c r="Z15" s="11">
        <v>9986697126</v>
      </c>
      <c r="AA15" s="12" t="s">
        <v>94</v>
      </c>
      <c r="AB15" s="11" t="s">
        <v>41</v>
      </c>
      <c r="AC15" s="12" t="s">
        <v>42</v>
      </c>
      <c r="AD15" s="11" t="s">
        <v>53</v>
      </c>
      <c r="AE15" s="12" t="s">
        <v>54</v>
      </c>
      <c r="AF15" s="14">
        <v>0.48920250000000004</v>
      </c>
      <c r="AG15" s="11" t="s">
        <v>95</v>
      </c>
    </row>
    <row r="16" spans="1:33" x14ac:dyDescent="0.2">
      <c r="A16" s="8">
        <v>2155</v>
      </c>
      <c r="B16" s="9" t="s">
        <v>62</v>
      </c>
      <c r="C16" s="10">
        <v>43265</v>
      </c>
      <c r="D16" s="11">
        <v>161</v>
      </c>
      <c r="E16" s="12" t="s">
        <v>34</v>
      </c>
      <c r="F16" s="12" t="s">
        <v>35</v>
      </c>
      <c r="G16" s="12" t="s">
        <v>35</v>
      </c>
      <c r="H16" s="12" t="s">
        <v>36</v>
      </c>
      <c r="I16" s="11" t="s">
        <v>98</v>
      </c>
      <c r="J16" s="12" t="s">
        <v>99</v>
      </c>
      <c r="K16" s="13" t="s">
        <v>100</v>
      </c>
      <c r="L16" s="11" t="str">
        <f>"000161"</f>
        <v>000161</v>
      </c>
      <c r="M16" s="10">
        <v>43152</v>
      </c>
      <c r="N16" s="11" t="str">
        <f>"000012"</f>
        <v>000012</v>
      </c>
      <c r="O16" s="10">
        <v>43250</v>
      </c>
      <c r="P16" s="11" t="str">
        <f>"000013"</f>
        <v>000013</v>
      </c>
      <c r="Q16" s="10">
        <v>43250</v>
      </c>
      <c r="R16" s="11">
        <v>17</v>
      </c>
      <c r="S16" s="11" t="str">
        <f>"002459"</f>
        <v>002459</v>
      </c>
      <c r="T16" s="10">
        <v>43263</v>
      </c>
      <c r="U16" s="14">
        <v>8.4319199999999999</v>
      </c>
      <c r="V16" s="14">
        <v>0.26139000000000001</v>
      </c>
      <c r="W16" s="14">
        <v>8.1705299999999994</v>
      </c>
      <c r="X16" s="11">
        <v>84</v>
      </c>
      <c r="Y16" s="10">
        <v>43265</v>
      </c>
      <c r="Z16" s="11">
        <v>9880521227</v>
      </c>
      <c r="AA16" s="12" t="s">
        <v>101</v>
      </c>
      <c r="AB16" s="11" t="s">
        <v>41</v>
      </c>
      <c r="AC16" s="12" t="s">
        <v>42</v>
      </c>
      <c r="AD16" s="11" t="s">
        <v>43</v>
      </c>
      <c r="AE16" s="12" t="s">
        <v>44</v>
      </c>
      <c r="AF16" s="14">
        <v>8.4319199999999997E-2</v>
      </c>
      <c r="AG16" s="11" t="s">
        <v>95</v>
      </c>
    </row>
    <row r="17" spans="1:33" x14ac:dyDescent="0.2">
      <c r="A17" s="8">
        <v>2602</v>
      </c>
      <c r="B17" s="9" t="s">
        <v>62</v>
      </c>
      <c r="C17" s="10">
        <v>43274</v>
      </c>
      <c r="D17" s="11">
        <v>161</v>
      </c>
      <c r="E17" s="12" t="s">
        <v>34</v>
      </c>
      <c r="F17" s="12" t="s">
        <v>35</v>
      </c>
      <c r="G17" s="12" t="s">
        <v>35</v>
      </c>
      <c r="H17" s="12" t="s">
        <v>36</v>
      </c>
      <c r="I17" s="11" t="s">
        <v>102</v>
      </c>
      <c r="J17" s="12" t="s">
        <v>103</v>
      </c>
      <c r="K17" s="13" t="s">
        <v>39</v>
      </c>
      <c r="L17" s="11" t="str">
        <f>"000041"</f>
        <v>000041</v>
      </c>
      <c r="M17" s="10">
        <v>42616</v>
      </c>
      <c r="N17" s="11" t="str">
        <f>"000169"</f>
        <v>000169</v>
      </c>
      <c r="O17" s="10">
        <v>42671</v>
      </c>
      <c r="P17" s="11" t="str">
        <f>"000310"</f>
        <v>000310</v>
      </c>
      <c r="Q17" s="10">
        <v>42671</v>
      </c>
      <c r="R17" s="11">
        <v>17</v>
      </c>
      <c r="S17" s="11" t="str">
        <f>"002828"</f>
        <v>002828</v>
      </c>
      <c r="T17" s="10">
        <v>43273</v>
      </c>
      <c r="U17" s="14">
        <v>15.636060000000001</v>
      </c>
      <c r="V17" s="14">
        <v>2.59206</v>
      </c>
      <c r="W17" s="14">
        <v>13.044</v>
      </c>
      <c r="X17" s="11">
        <v>99</v>
      </c>
      <c r="Y17" s="10">
        <v>43274</v>
      </c>
      <c r="Z17" s="11">
        <v>9986697126</v>
      </c>
      <c r="AA17" s="12" t="s">
        <v>78</v>
      </c>
      <c r="AB17" s="11" t="s">
        <v>69</v>
      </c>
      <c r="AC17" s="12" t="s">
        <v>70</v>
      </c>
      <c r="AD17" s="11" t="s">
        <v>53</v>
      </c>
      <c r="AE17" s="12" t="s">
        <v>54</v>
      </c>
      <c r="AF17" s="14">
        <v>0.15636060000000002</v>
      </c>
      <c r="AG17" s="11" t="s">
        <v>45</v>
      </c>
    </row>
    <row r="18" spans="1:33" x14ac:dyDescent="0.2">
      <c r="A18" s="8">
        <v>2603</v>
      </c>
      <c r="B18" s="9" t="s">
        <v>62</v>
      </c>
      <c r="C18" s="10">
        <v>43274</v>
      </c>
      <c r="D18" s="11">
        <v>161</v>
      </c>
      <c r="E18" s="12" t="s">
        <v>34</v>
      </c>
      <c r="F18" s="12" t="s">
        <v>35</v>
      </c>
      <c r="G18" s="12" t="s">
        <v>35</v>
      </c>
      <c r="H18" s="12" t="s">
        <v>36</v>
      </c>
      <c r="I18" s="11" t="s">
        <v>104</v>
      </c>
      <c r="J18" s="12" t="s">
        <v>105</v>
      </c>
      <c r="K18" s="13" t="s">
        <v>39</v>
      </c>
      <c r="L18" s="11" t="str">
        <f>"000040"</f>
        <v>000040</v>
      </c>
      <c r="M18" s="10">
        <v>42616</v>
      </c>
      <c r="N18" s="11" t="str">
        <f>"000170"</f>
        <v>000170</v>
      </c>
      <c r="O18" s="10">
        <v>42671</v>
      </c>
      <c r="P18" s="11" t="str">
        <f>"000311"</f>
        <v>000311</v>
      </c>
      <c r="Q18" s="10">
        <v>42671</v>
      </c>
      <c r="R18" s="11">
        <v>17</v>
      </c>
      <c r="S18" s="11" t="str">
        <f>"002829"</f>
        <v>002829</v>
      </c>
      <c r="T18" s="10">
        <v>43273</v>
      </c>
      <c r="U18" s="14">
        <v>13.865769999999999</v>
      </c>
      <c r="V18" s="14">
        <v>2.2757700000000001</v>
      </c>
      <c r="W18" s="14">
        <v>11.59</v>
      </c>
      <c r="X18" s="11">
        <v>99</v>
      </c>
      <c r="Y18" s="10">
        <v>43274</v>
      </c>
      <c r="Z18" s="11">
        <v>9986697126</v>
      </c>
      <c r="AA18" s="12" t="s">
        <v>73</v>
      </c>
      <c r="AB18" s="11" t="s">
        <v>69</v>
      </c>
      <c r="AC18" s="12" t="s">
        <v>70</v>
      </c>
      <c r="AD18" s="11" t="s">
        <v>53</v>
      </c>
      <c r="AE18" s="12" t="s">
        <v>54</v>
      </c>
      <c r="AF18" s="14">
        <v>0.13865769999999999</v>
      </c>
      <c r="AG18" s="11" t="s">
        <v>45</v>
      </c>
    </row>
    <row r="19" spans="1:33" x14ac:dyDescent="0.2">
      <c r="A19" s="8">
        <v>2604</v>
      </c>
      <c r="B19" s="9" t="s">
        <v>62</v>
      </c>
      <c r="C19" s="10">
        <v>43274</v>
      </c>
      <c r="D19" s="11">
        <v>161</v>
      </c>
      <c r="E19" s="12" t="s">
        <v>34</v>
      </c>
      <c r="F19" s="12" t="s">
        <v>35</v>
      </c>
      <c r="G19" s="12" t="s">
        <v>35</v>
      </c>
      <c r="H19" s="12" t="s">
        <v>36</v>
      </c>
      <c r="I19" s="11" t="s">
        <v>106</v>
      </c>
      <c r="J19" s="12" t="s">
        <v>107</v>
      </c>
      <c r="K19" s="13" t="s">
        <v>39</v>
      </c>
      <c r="L19" s="11" t="str">
        <f>"000039"</f>
        <v>000039</v>
      </c>
      <c r="M19" s="10">
        <v>42616</v>
      </c>
      <c r="N19" s="11" t="str">
        <f>"000171"</f>
        <v>000171</v>
      </c>
      <c r="O19" s="10">
        <v>42671</v>
      </c>
      <c r="P19" s="11" t="str">
        <f>"000312"</f>
        <v>000312</v>
      </c>
      <c r="Q19" s="10">
        <v>42671</v>
      </c>
      <c r="R19" s="11">
        <v>17</v>
      </c>
      <c r="S19" s="11" t="str">
        <f>"002830"</f>
        <v>002830</v>
      </c>
      <c r="T19" s="10">
        <v>43273</v>
      </c>
      <c r="U19" s="14">
        <v>24.49972</v>
      </c>
      <c r="V19" s="14">
        <v>4.0377200000000002</v>
      </c>
      <c r="W19" s="14">
        <v>20.462</v>
      </c>
      <c r="X19" s="11">
        <v>99</v>
      </c>
      <c r="Y19" s="10">
        <v>43274</v>
      </c>
      <c r="Z19" s="11">
        <v>9986697126</v>
      </c>
      <c r="AA19" s="12" t="s">
        <v>78</v>
      </c>
      <c r="AB19" s="11" t="s">
        <v>69</v>
      </c>
      <c r="AC19" s="12" t="s">
        <v>70</v>
      </c>
      <c r="AD19" s="11" t="s">
        <v>53</v>
      </c>
      <c r="AE19" s="12" t="s">
        <v>54</v>
      </c>
      <c r="AF19" s="14">
        <v>0.2449972</v>
      </c>
      <c r="AG19" s="11" t="s">
        <v>45</v>
      </c>
    </row>
    <row r="20" spans="1:33" x14ac:dyDescent="0.2">
      <c r="A20" s="8">
        <v>2605</v>
      </c>
      <c r="B20" s="9" t="s">
        <v>62</v>
      </c>
      <c r="C20" s="10">
        <v>43274</v>
      </c>
      <c r="D20" s="11">
        <v>161</v>
      </c>
      <c r="E20" s="12" t="s">
        <v>34</v>
      </c>
      <c r="F20" s="12" t="s">
        <v>35</v>
      </c>
      <c r="G20" s="12" t="s">
        <v>35</v>
      </c>
      <c r="H20" s="12" t="s">
        <v>36</v>
      </c>
      <c r="I20" s="11" t="s">
        <v>108</v>
      </c>
      <c r="J20" s="12" t="s">
        <v>109</v>
      </c>
      <c r="K20" s="13" t="s">
        <v>39</v>
      </c>
      <c r="L20" s="11" t="str">
        <f>"000036"</f>
        <v>000036</v>
      </c>
      <c r="M20" s="10">
        <v>42616</v>
      </c>
      <c r="N20" s="11" t="str">
        <f>"000172"</f>
        <v>000172</v>
      </c>
      <c r="O20" s="10">
        <v>42671</v>
      </c>
      <c r="P20" s="11" t="str">
        <f>"000313"</f>
        <v>000313</v>
      </c>
      <c r="Q20" s="10">
        <v>42671</v>
      </c>
      <c r="R20" s="11">
        <v>17</v>
      </c>
      <c r="S20" s="11" t="str">
        <f>"002831"</f>
        <v>002831</v>
      </c>
      <c r="T20" s="10">
        <v>43273</v>
      </c>
      <c r="U20" s="14">
        <v>17.562080000000002</v>
      </c>
      <c r="V20" s="14">
        <v>2.87608</v>
      </c>
      <c r="W20" s="14">
        <v>14.686</v>
      </c>
      <c r="X20" s="11">
        <v>99</v>
      </c>
      <c r="Y20" s="10">
        <v>43274</v>
      </c>
      <c r="Z20" s="11">
        <v>9986697126</v>
      </c>
      <c r="AA20" s="12" t="s">
        <v>78</v>
      </c>
      <c r="AB20" s="11" t="s">
        <v>69</v>
      </c>
      <c r="AC20" s="12" t="s">
        <v>70</v>
      </c>
      <c r="AD20" s="11" t="s">
        <v>53</v>
      </c>
      <c r="AE20" s="12" t="s">
        <v>54</v>
      </c>
      <c r="AF20" s="14">
        <v>0.17562080000000002</v>
      </c>
      <c r="AG20" s="11" t="s">
        <v>45</v>
      </c>
    </row>
    <row r="21" spans="1:33" x14ac:dyDescent="0.2">
      <c r="A21" s="8">
        <v>2606</v>
      </c>
      <c r="B21" s="9" t="s">
        <v>62</v>
      </c>
      <c r="C21" s="10">
        <v>43274</v>
      </c>
      <c r="D21" s="11">
        <v>161</v>
      </c>
      <c r="E21" s="12" t="s">
        <v>34</v>
      </c>
      <c r="F21" s="12" t="s">
        <v>35</v>
      </c>
      <c r="G21" s="12" t="s">
        <v>35</v>
      </c>
      <c r="H21" s="12" t="s">
        <v>36</v>
      </c>
      <c r="I21" s="11" t="s">
        <v>110</v>
      </c>
      <c r="J21" s="12" t="s">
        <v>111</v>
      </c>
      <c r="K21" s="13" t="s">
        <v>39</v>
      </c>
      <c r="L21" s="11" t="str">
        <f>"000037"</f>
        <v>000037</v>
      </c>
      <c r="M21" s="10">
        <v>42616</v>
      </c>
      <c r="N21" s="11" t="str">
        <f>"000173"</f>
        <v>000173</v>
      </c>
      <c r="O21" s="10">
        <v>42671</v>
      </c>
      <c r="P21" s="11" t="str">
        <f>"000314"</f>
        <v>000314</v>
      </c>
      <c r="Q21" s="10">
        <v>42671</v>
      </c>
      <c r="R21" s="11">
        <v>17</v>
      </c>
      <c r="S21" s="11" t="str">
        <f>"002832"</f>
        <v>002832</v>
      </c>
      <c r="T21" s="10">
        <v>43273</v>
      </c>
      <c r="U21" s="14">
        <v>10.833310000000001</v>
      </c>
      <c r="V21" s="14">
        <v>1.7733099999999999</v>
      </c>
      <c r="W21" s="14">
        <v>9.06</v>
      </c>
      <c r="X21" s="11">
        <v>99</v>
      </c>
      <c r="Y21" s="10">
        <v>43274</v>
      </c>
      <c r="Z21" s="11">
        <v>9986697126</v>
      </c>
      <c r="AA21" s="12" t="s">
        <v>78</v>
      </c>
      <c r="AB21" s="11" t="s">
        <v>69</v>
      </c>
      <c r="AC21" s="12" t="s">
        <v>70</v>
      </c>
      <c r="AD21" s="11" t="s">
        <v>53</v>
      </c>
      <c r="AE21" s="12" t="s">
        <v>54</v>
      </c>
      <c r="AF21" s="14">
        <v>0.10833310000000002</v>
      </c>
      <c r="AG21" s="11" t="s">
        <v>45</v>
      </c>
    </row>
    <row r="22" spans="1:33" x14ac:dyDescent="0.2">
      <c r="A22" s="8">
        <v>2607</v>
      </c>
      <c r="B22" s="9" t="s">
        <v>62</v>
      </c>
      <c r="C22" s="10">
        <v>43274</v>
      </c>
      <c r="D22" s="11">
        <v>161</v>
      </c>
      <c r="E22" s="12" t="s">
        <v>34</v>
      </c>
      <c r="F22" s="12" t="s">
        <v>35</v>
      </c>
      <c r="G22" s="12" t="s">
        <v>35</v>
      </c>
      <c r="H22" s="12" t="s">
        <v>36</v>
      </c>
      <c r="I22" s="11" t="s">
        <v>112</v>
      </c>
      <c r="J22" s="12" t="s">
        <v>113</v>
      </c>
      <c r="K22" s="13" t="s">
        <v>49</v>
      </c>
      <c r="L22" s="11" t="str">
        <f>"000038"</f>
        <v>000038</v>
      </c>
      <c r="M22" s="10">
        <v>42616</v>
      </c>
      <c r="N22" s="11" t="str">
        <f>"000174"</f>
        <v>000174</v>
      </c>
      <c r="O22" s="10">
        <v>42671</v>
      </c>
      <c r="P22" s="11" t="str">
        <f>"000315"</f>
        <v>000315</v>
      </c>
      <c r="Q22" s="10">
        <v>42671</v>
      </c>
      <c r="R22" s="11">
        <v>17</v>
      </c>
      <c r="S22" s="11" t="str">
        <f>"002833"</f>
        <v>002833</v>
      </c>
      <c r="T22" s="10">
        <v>43273</v>
      </c>
      <c r="U22" s="14">
        <v>15.79288</v>
      </c>
      <c r="V22" s="14">
        <v>2.59788</v>
      </c>
      <c r="W22" s="14">
        <v>13.195</v>
      </c>
      <c r="X22" s="11">
        <v>99</v>
      </c>
      <c r="Y22" s="10">
        <v>43274</v>
      </c>
      <c r="Z22" s="11">
        <v>9986697126</v>
      </c>
      <c r="AA22" s="12" t="s">
        <v>78</v>
      </c>
      <c r="AB22" s="11" t="s">
        <v>69</v>
      </c>
      <c r="AC22" s="12" t="s">
        <v>70</v>
      </c>
      <c r="AD22" s="11" t="s">
        <v>53</v>
      </c>
      <c r="AE22" s="12" t="s">
        <v>54</v>
      </c>
      <c r="AF22" s="14">
        <v>0.15792880000000001</v>
      </c>
      <c r="AG22" s="11" t="s">
        <v>45</v>
      </c>
    </row>
    <row r="23" spans="1:33" x14ac:dyDescent="0.2">
      <c r="A23" s="8">
        <v>2608</v>
      </c>
      <c r="B23" s="9" t="s">
        <v>62</v>
      </c>
      <c r="C23" s="10">
        <v>43274</v>
      </c>
      <c r="D23" s="11">
        <v>161</v>
      </c>
      <c r="E23" s="12" t="s">
        <v>34</v>
      </c>
      <c r="F23" s="12" t="s">
        <v>35</v>
      </c>
      <c r="G23" s="12" t="s">
        <v>35</v>
      </c>
      <c r="H23" s="12" t="s">
        <v>36</v>
      </c>
      <c r="I23" s="11" t="s">
        <v>114</v>
      </c>
      <c r="J23" s="12" t="s">
        <v>115</v>
      </c>
      <c r="K23" s="13" t="s">
        <v>39</v>
      </c>
      <c r="L23" s="11" t="str">
        <f>"000087"</f>
        <v>000087</v>
      </c>
      <c r="M23" s="10">
        <v>41989</v>
      </c>
      <c r="N23" s="11" t="str">
        <f>"000145"</f>
        <v>000145</v>
      </c>
      <c r="O23" s="10">
        <v>42613</v>
      </c>
      <c r="P23" s="11" t="str">
        <f>"000289"</f>
        <v>000289</v>
      </c>
      <c r="Q23" s="10">
        <v>42627</v>
      </c>
      <c r="R23" s="11">
        <v>13</v>
      </c>
      <c r="S23" s="11" t="str">
        <f>"002844"</f>
        <v>002844</v>
      </c>
      <c r="T23" s="10">
        <v>43273</v>
      </c>
      <c r="U23" s="14">
        <v>44.9773</v>
      </c>
      <c r="V23" s="14">
        <v>7.5861000000000001</v>
      </c>
      <c r="W23" s="14">
        <v>37.391199999999998</v>
      </c>
      <c r="X23" s="11">
        <v>99</v>
      </c>
      <c r="Y23" s="10">
        <v>43274</v>
      </c>
      <c r="Z23" s="11">
        <v>9986697126</v>
      </c>
      <c r="AA23" s="12" t="s">
        <v>73</v>
      </c>
      <c r="AB23" s="11" t="s">
        <v>89</v>
      </c>
      <c r="AC23" s="12" t="s">
        <v>90</v>
      </c>
      <c r="AD23" s="11" t="s">
        <v>53</v>
      </c>
      <c r="AE23" s="12" t="s">
        <v>54</v>
      </c>
      <c r="AF23" s="14">
        <v>0.44977299999999998</v>
      </c>
      <c r="AG23" s="11" t="s">
        <v>45</v>
      </c>
    </row>
    <row r="24" spans="1:33" x14ac:dyDescent="0.2">
      <c r="A24" s="8">
        <v>2657</v>
      </c>
      <c r="B24" s="9" t="s">
        <v>62</v>
      </c>
      <c r="C24" s="10">
        <v>43276</v>
      </c>
      <c r="D24" s="11">
        <v>161</v>
      </c>
      <c r="E24" s="12" t="s">
        <v>34</v>
      </c>
      <c r="F24" s="12" t="s">
        <v>35</v>
      </c>
      <c r="G24" s="12" t="s">
        <v>35</v>
      </c>
      <c r="H24" s="12" t="s">
        <v>36</v>
      </c>
      <c r="I24" s="11" t="s">
        <v>116</v>
      </c>
      <c r="J24" s="12" t="s">
        <v>117</v>
      </c>
      <c r="K24" s="13" t="s">
        <v>39</v>
      </c>
      <c r="L24" s="11" t="str">
        <f>"000103"</f>
        <v>000103</v>
      </c>
      <c r="M24" s="10">
        <v>43157</v>
      </c>
      <c r="N24" s="11" t="str">
        <f>"000013"</f>
        <v>000013</v>
      </c>
      <c r="O24" s="10">
        <v>43239</v>
      </c>
      <c r="P24" s="11" t="str">
        <f>"000011"</f>
        <v>000011</v>
      </c>
      <c r="Q24" s="10">
        <v>43241</v>
      </c>
      <c r="R24" s="11">
        <v>18</v>
      </c>
      <c r="S24" s="11" t="str">
        <f>"002644"</f>
        <v>002644</v>
      </c>
      <c r="T24" s="10">
        <v>43269</v>
      </c>
      <c r="U24" s="14">
        <v>49.974899999999998</v>
      </c>
      <c r="V24" s="14">
        <v>6.2420999999999998</v>
      </c>
      <c r="W24" s="14">
        <v>43.732799999999997</v>
      </c>
      <c r="X24" s="11">
        <v>100</v>
      </c>
      <c r="Y24" s="10">
        <v>43276</v>
      </c>
      <c r="Z24" s="11">
        <v>9986697126</v>
      </c>
      <c r="AA24" s="12" t="s">
        <v>73</v>
      </c>
      <c r="AB24" s="11" t="s">
        <v>118</v>
      </c>
      <c r="AC24" s="12" t="s">
        <v>119</v>
      </c>
      <c r="AD24" s="11" t="s">
        <v>53</v>
      </c>
      <c r="AE24" s="12" t="s">
        <v>54</v>
      </c>
      <c r="AF24" s="14">
        <v>0.499749</v>
      </c>
      <c r="AG24" s="11" t="s">
        <v>95</v>
      </c>
    </row>
    <row r="25" spans="1:33" x14ac:dyDescent="0.2">
      <c r="A25" s="8">
        <v>2933</v>
      </c>
      <c r="B25" s="9" t="s">
        <v>120</v>
      </c>
      <c r="C25" s="10">
        <v>43283</v>
      </c>
      <c r="D25" s="11">
        <v>161</v>
      </c>
      <c r="E25" s="12" t="s">
        <v>34</v>
      </c>
      <c r="F25" s="12" t="s">
        <v>35</v>
      </c>
      <c r="G25" s="12" t="s">
        <v>35</v>
      </c>
      <c r="H25" s="12" t="s">
        <v>36</v>
      </c>
      <c r="I25" s="11" t="s">
        <v>121</v>
      </c>
      <c r="J25" s="12" t="s">
        <v>122</v>
      </c>
      <c r="K25" s="13" t="s">
        <v>39</v>
      </c>
      <c r="L25" s="11" t="str">
        <f>"000206"</f>
        <v>000206</v>
      </c>
      <c r="M25" s="10">
        <v>41335</v>
      </c>
      <c r="N25" s="11" t="str">
        <f>"000154"</f>
        <v>000154</v>
      </c>
      <c r="O25" s="10">
        <v>42620</v>
      </c>
      <c r="P25" s="11" t="str">
        <f>"000279"</f>
        <v>000279</v>
      </c>
      <c r="Q25" s="10">
        <v>42621</v>
      </c>
      <c r="R25" s="11">
        <v>13</v>
      </c>
      <c r="S25" s="11" t="str">
        <f>"003127"</f>
        <v>003127</v>
      </c>
      <c r="T25" s="10">
        <v>43280</v>
      </c>
      <c r="U25" s="14">
        <v>13.69918</v>
      </c>
      <c r="V25" s="14">
        <v>2.5200800000000001</v>
      </c>
      <c r="W25" s="14">
        <v>11.1791</v>
      </c>
      <c r="X25" s="11">
        <v>106</v>
      </c>
      <c r="Y25" s="10">
        <v>43283</v>
      </c>
      <c r="Z25" s="11">
        <v>9986697126</v>
      </c>
      <c r="AA25" s="12" t="s">
        <v>78</v>
      </c>
      <c r="AB25" s="11" t="s">
        <v>69</v>
      </c>
      <c r="AC25" s="12" t="s">
        <v>70</v>
      </c>
      <c r="AD25" s="11" t="s">
        <v>53</v>
      </c>
      <c r="AE25" s="12" t="s">
        <v>54</v>
      </c>
      <c r="AF25" s="14">
        <v>0.1369918</v>
      </c>
      <c r="AG25" s="11" t="s">
        <v>45</v>
      </c>
    </row>
    <row r="26" spans="1:33" x14ac:dyDescent="0.2">
      <c r="A26" s="8">
        <v>3599</v>
      </c>
      <c r="B26" s="9" t="s">
        <v>120</v>
      </c>
      <c r="C26" s="10">
        <v>43299</v>
      </c>
      <c r="D26" s="11">
        <v>161</v>
      </c>
      <c r="E26" s="12" t="s">
        <v>34</v>
      </c>
      <c r="F26" s="12" t="s">
        <v>35</v>
      </c>
      <c r="G26" s="12" t="s">
        <v>35</v>
      </c>
      <c r="H26" s="12" t="s">
        <v>36</v>
      </c>
      <c r="I26" s="11" t="s">
        <v>123</v>
      </c>
      <c r="J26" s="12" t="s">
        <v>124</v>
      </c>
      <c r="K26" s="13" t="s">
        <v>39</v>
      </c>
      <c r="L26" s="11" t="str">
        <f>"000015"</f>
        <v>000015</v>
      </c>
      <c r="M26" s="10">
        <v>42934</v>
      </c>
      <c r="N26" s="11" t="str">
        <f>"000004"</f>
        <v>000004</v>
      </c>
      <c r="O26" s="10">
        <v>43178</v>
      </c>
      <c r="P26" s="11" t="str">
        <f>"000124"</f>
        <v>000124</v>
      </c>
      <c r="Q26" s="10">
        <v>43178</v>
      </c>
      <c r="R26" s="11">
        <v>16</v>
      </c>
      <c r="S26" s="11" t="str">
        <f>"004025"</f>
        <v>004025</v>
      </c>
      <c r="T26" s="10">
        <v>43300</v>
      </c>
      <c r="U26" s="14">
        <v>8.7518899999999995</v>
      </c>
      <c r="V26" s="14">
        <v>0.74439</v>
      </c>
      <c r="W26" s="14">
        <v>8.0075000000000003</v>
      </c>
      <c r="X26" s="11">
        <v>127</v>
      </c>
      <c r="Y26" s="10">
        <v>43299</v>
      </c>
      <c r="Z26" s="11">
        <v>0</v>
      </c>
      <c r="AA26" s="12" t="s">
        <v>125</v>
      </c>
      <c r="AB26" s="11" t="s">
        <v>126</v>
      </c>
      <c r="AC26" s="12" t="s">
        <v>127</v>
      </c>
      <c r="AD26" s="11" t="s">
        <v>43</v>
      </c>
      <c r="AE26" s="12" t="s">
        <v>44</v>
      </c>
      <c r="AF26" s="14">
        <v>8.7518899999999997E-2</v>
      </c>
      <c r="AG26" s="11" t="s">
        <v>45</v>
      </c>
    </row>
    <row r="27" spans="1:33" x14ac:dyDescent="0.2">
      <c r="A27" s="8">
        <v>3600</v>
      </c>
      <c r="B27" s="9" t="s">
        <v>120</v>
      </c>
      <c r="C27" s="10">
        <v>43299</v>
      </c>
      <c r="D27" s="11">
        <v>161</v>
      </c>
      <c r="E27" s="12" t="s">
        <v>34</v>
      </c>
      <c r="F27" s="12" t="s">
        <v>35</v>
      </c>
      <c r="G27" s="12" t="s">
        <v>35</v>
      </c>
      <c r="H27" s="12" t="s">
        <v>36</v>
      </c>
      <c r="I27" s="11" t="s">
        <v>128</v>
      </c>
      <c r="J27" s="12" t="s">
        <v>129</v>
      </c>
      <c r="K27" s="13" t="s">
        <v>39</v>
      </c>
      <c r="L27" s="11" t="str">
        <f>"000029"</f>
        <v>000029</v>
      </c>
      <c r="M27" s="10">
        <v>42934</v>
      </c>
      <c r="N27" s="11" t="str">
        <f>"000003"</f>
        <v>000003</v>
      </c>
      <c r="O27" s="10">
        <v>43178</v>
      </c>
      <c r="P27" s="11" t="str">
        <f>"000123"</f>
        <v>000123</v>
      </c>
      <c r="Q27" s="10">
        <v>43178</v>
      </c>
      <c r="R27" s="11">
        <v>16</v>
      </c>
      <c r="S27" s="11" t="str">
        <f>"004024"</f>
        <v>004024</v>
      </c>
      <c r="T27" s="10">
        <v>43300</v>
      </c>
      <c r="U27" s="14">
        <v>12.305</v>
      </c>
      <c r="V27" s="14">
        <v>0.95665999999999995</v>
      </c>
      <c r="W27" s="14">
        <v>11.34834</v>
      </c>
      <c r="X27" s="11">
        <v>127</v>
      </c>
      <c r="Y27" s="10">
        <v>43299</v>
      </c>
      <c r="Z27" s="11">
        <v>0</v>
      </c>
      <c r="AA27" s="12" t="s">
        <v>130</v>
      </c>
      <c r="AB27" s="11" t="s">
        <v>126</v>
      </c>
      <c r="AC27" s="12" t="s">
        <v>127</v>
      </c>
      <c r="AD27" s="11" t="s">
        <v>43</v>
      </c>
      <c r="AE27" s="12" t="s">
        <v>44</v>
      </c>
      <c r="AF27" s="14">
        <v>0.12304999999999999</v>
      </c>
      <c r="AG27" s="11" t="s">
        <v>45</v>
      </c>
    </row>
    <row r="28" spans="1:33" x14ac:dyDescent="0.2">
      <c r="A28" s="8">
        <v>3789</v>
      </c>
      <c r="B28" s="9" t="s">
        <v>120</v>
      </c>
      <c r="C28" s="10">
        <v>43301</v>
      </c>
      <c r="D28" s="11">
        <v>161</v>
      </c>
      <c r="E28" s="12" t="s">
        <v>34</v>
      </c>
      <c r="F28" s="12" t="s">
        <v>35</v>
      </c>
      <c r="G28" s="12" t="s">
        <v>35</v>
      </c>
      <c r="H28" s="12" t="s">
        <v>36</v>
      </c>
      <c r="I28" s="11" t="s">
        <v>128</v>
      </c>
      <c r="J28" s="12" t="s">
        <v>129</v>
      </c>
      <c r="K28" s="13" t="s">
        <v>39</v>
      </c>
      <c r="L28" s="11" t="str">
        <f>"000029"</f>
        <v>000029</v>
      </c>
      <c r="M28" s="10">
        <v>42934</v>
      </c>
      <c r="N28" s="11" t="str">
        <f>"000003"</f>
        <v>000003</v>
      </c>
      <c r="O28" s="10">
        <v>43178</v>
      </c>
      <c r="P28" s="11" t="str">
        <f>"000123"</f>
        <v>000123</v>
      </c>
      <c r="Q28" s="10">
        <v>43178</v>
      </c>
      <c r="R28" s="11">
        <v>16</v>
      </c>
      <c r="S28" s="11" t="str">
        <f>"004024"</f>
        <v>004024</v>
      </c>
      <c r="T28" s="10">
        <v>43300</v>
      </c>
      <c r="U28" s="14">
        <v>3.1709999999999998</v>
      </c>
      <c r="V28" s="14">
        <v>0.27514</v>
      </c>
      <c r="W28" s="14">
        <v>2.8958599999999999</v>
      </c>
      <c r="X28" s="11">
        <v>134</v>
      </c>
      <c r="Y28" s="10">
        <v>43301</v>
      </c>
      <c r="Z28" s="11">
        <v>0</v>
      </c>
      <c r="AA28" s="12" t="s">
        <v>130</v>
      </c>
      <c r="AB28" s="11" t="s">
        <v>126</v>
      </c>
      <c r="AC28" s="12" t="s">
        <v>127</v>
      </c>
      <c r="AD28" s="11" t="s">
        <v>43</v>
      </c>
      <c r="AE28" s="12" t="s">
        <v>44</v>
      </c>
      <c r="AF28" s="14">
        <v>3.1709999999999995E-2</v>
      </c>
      <c r="AG28" s="11" t="s">
        <v>45</v>
      </c>
    </row>
    <row r="29" spans="1:33" x14ac:dyDescent="0.2">
      <c r="A29" s="8">
        <v>3790</v>
      </c>
      <c r="B29" s="9" t="s">
        <v>120</v>
      </c>
      <c r="C29" s="10">
        <v>43301</v>
      </c>
      <c r="D29" s="11">
        <v>161</v>
      </c>
      <c r="E29" s="12" t="s">
        <v>34</v>
      </c>
      <c r="F29" s="12" t="s">
        <v>35</v>
      </c>
      <c r="G29" s="12" t="s">
        <v>35</v>
      </c>
      <c r="H29" s="12" t="s">
        <v>36</v>
      </c>
      <c r="I29" s="11" t="s">
        <v>123</v>
      </c>
      <c r="J29" s="12" t="s">
        <v>124</v>
      </c>
      <c r="K29" s="13" t="s">
        <v>39</v>
      </c>
      <c r="L29" s="11" t="str">
        <f>"000015"</f>
        <v>000015</v>
      </c>
      <c r="M29" s="10">
        <v>42934</v>
      </c>
      <c r="N29" s="11" t="str">
        <f>"000004"</f>
        <v>000004</v>
      </c>
      <c r="O29" s="10">
        <v>43178</v>
      </c>
      <c r="P29" s="11" t="str">
        <f>"000124"</f>
        <v>000124</v>
      </c>
      <c r="Q29" s="10">
        <v>43178</v>
      </c>
      <c r="R29" s="11">
        <v>16</v>
      </c>
      <c r="S29" s="11" t="str">
        <f>"004025"</f>
        <v>004025</v>
      </c>
      <c r="T29" s="10">
        <v>43300</v>
      </c>
      <c r="U29" s="14">
        <v>2.9039600000000001</v>
      </c>
      <c r="V29" s="14">
        <v>0.26618000000000003</v>
      </c>
      <c r="W29" s="14">
        <v>2.6377799999999998</v>
      </c>
      <c r="X29" s="11">
        <v>134</v>
      </c>
      <c r="Y29" s="10">
        <v>43301</v>
      </c>
      <c r="Z29" s="11">
        <v>0</v>
      </c>
      <c r="AA29" s="12" t="s">
        <v>125</v>
      </c>
      <c r="AB29" s="11" t="s">
        <v>126</v>
      </c>
      <c r="AC29" s="12" t="s">
        <v>127</v>
      </c>
      <c r="AD29" s="11" t="s">
        <v>43</v>
      </c>
      <c r="AE29" s="12" t="s">
        <v>44</v>
      </c>
      <c r="AF29" s="14">
        <v>2.9039600000000002E-2</v>
      </c>
      <c r="AG29" s="11" t="s">
        <v>45</v>
      </c>
    </row>
    <row r="30" spans="1:33" x14ac:dyDescent="0.2">
      <c r="A30" s="8">
        <v>3866</v>
      </c>
      <c r="B30" s="9" t="s">
        <v>120</v>
      </c>
      <c r="C30" s="10">
        <v>43304</v>
      </c>
      <c r="D30" s="11">
        <v>161</v>
      </c>
      <c r="E30" s="12" t="s">
        <v>34</v>
      </c>
      <c r="F30" s="12" t="s">
        <v>35</v>
      </c>
      <c r="G30" s="12" t="s">
        <v>35</v>
      </c>
      <c r="H30" s="12" t="s">
        <v>36</v>
      </c>
      <c r="I30" s="11" t="s">
        <v>131</v>
      </c>
      <c r="J30" s="12" t="s">
        <v>132</v>
      </c>
      <c r="K30" s="13" t="s">
        <v>39</v>
      </c>
      <c r="L30" s="11" t="str">
        <f>"000033"</f>
        <v>000033</v>
      </c>
      <c r="M30" s="10">
        <v>42881</v>
      </c>
      <c r="N30" s="11" t="str">
        <f>"000029"</f>
        <v>000029</v>
      </c>
      <c r="O30" s="10">
        <v>43285</v>
      </c>
      <c r="P30" s="11" t="str">
        <f>"000042"</f>
        <v>000042</v>
      </c>
      <c r="Q30" s="10">
        <v>43286</v>
      </c>
      <c r="R30" s="11">
        <v>17</v>
      </c>
      <c r="S30" s="11" t="str">
        <f>"004074"</f>
        <v>004074</v>
      </c>
      <c r="T30" s="10">
        <v>43301</v>
      </c>
      <c r="U30" s="14">
        <v>10.900499999999999</v>
      </c>
      <c r="V30" s="14">
        <v>0.78610000000000002</v>
      </c>
      <c r="W30" s="14">
        <v>10.1144</v>
      </c>
      <c r="X30" s="11">
        <v>137</v>
      </c>
      <c r="Y30" s="10">
        <v>43304</v>
      </c>
      <c r="Z30" s="11">
        <v>9448040740</v>
      </c>
      <c r="AA30" s="12" t="s">
        <v>133</v>
      </c>
      <c r="AB30" s="11" t="s">
        <v>41</v>
      </c>
      <c r="AC30" s="12" t="s">
        <v>42</v>
      </c>
      <c r="AD30" s="11" t="s">
        <v>53</v>
      </c>
      <c r="AE30" s="12" t="s">
        <v>54</v>
      </c>
      <c r="AF30" s="14">
        <v>0.10900499999999999</v>
      </c>
      <c r="AG30" s="11" t="s">
        <v>95</v>
      </c>
    </row>
    <row r="31" spans="1:33" x14ac:dyDescent="0.2">
      <c r="A31" s="8">
        <v>4691</v>
      </c>
      <c r="B31" s="9" t="s">
        <v>134</v>
      </c>
      <c r="C31" s="10">
        <v>43325</v>
      </c>
      <c r="D31" s="11">
        <v>161</v>
      </c>
      <c r="E31" s="12" t="s">
        <v>34</v>
      </c>
      <c r="F31" s="12" t="s">
        <v>35</v>
      </c>
      <c r="G31" s="12" t="s">
        <v>35</v>
      </c>
      <c r="H31" s="12" t="s">
        <v>36</v>
      </c>
      <c r="I31" s="11" t="s">
        <v>135</v>
      </c>
      <c r="J31" s="12" t="s">
        <v>136</v>
      </c>
      <c r="K31" s="13" t="s">
        <v>39</v>
      </c>
      <c r="L31" s="11" t="str">
        <f>"000105"</f>
        <v>000105</v>
      </c>
      <c r="M31" s="10">
        <v>43158</v>
      </c>
      <c r="N31" s="11" t="str">
        <f>"000027"</f>
        <v>000027</v>
      </c>
      <c r="O31" s="10">
        <v>43285</v>
      </c>
      <c r="P31" s="11" t="str">
        <f>"000040"</f>
        <v>000040</v>
      </c>
      <c r="Q31" s="10">
        <v>43285</v>
      </c>
      <c r="R31" s="11">
        <v>18</v>
      </c>
      <c r="S31" s="11" t="str">
        <f>"004065"</f>
        <v>004065</v>
      </c>
      <c r="T31" s="10">
        <v>43301</v>
      </c>
      <c r="U31" s="14">
        <v>24.966100000000001</v>
      </c>
      <c r="V31" s="14">
        <v>3.0388500000000001</v>
      </c>
      <c r="W31" s="14">
        <v>21.927250000000001</v>
      </c>
      <c r="X31" s="11">
        <v>166</v>
      </c>
      <c r="Y31" s="10">
        <v>43325</v>
      </c>
      <c r="Z31" s="11">
        <v>9986697126</v>
      </c>
      <c r="AA31" s="12" t="s">
        <v>73</v>
      </c>
      <c r="AB31" s="11" t="s">
        <v>118</v>
      </c>
      <c r="AC31" s="12" t="s">
        <v>119</v>
      </c>
      <c r="AD31" s="11" t="s">
        <v>53</v>
      </c>
      <c r="AE31" s="12" t="s">
        <v>54</v>
      </c>
      <c r="AF31" s="14">
        <v>0.24966100000000002</v>
      </c>
      <c r="AG31" s="11" t="s">
        <v>95</v>
      </c>
    </row>
    <row r="32" spans="1:33" x14ac:dyDescent="0.2">
      <c r="A32" s="8">
        <v>4692</v>
      </c>
      <c r="B32" s="9" t="s">
        <v>134</v>
      </c>
      <c r="C32" s="10">
        <v>43325</v>
      </c>
      <c r="D32" s="11">
        <v>161</v>
      </c>
      <c r="E32" s="12" t="s">
        <v>34</v>
      </c>
      <c r="F32" s="12" t="s">
        <v>35</v>
      </c>
      <c r="G32" s="12" t="s">
        <v>35</v>
      </c>
      <c r="H32" s="12" t="s">
        <v>36</v>
      </c>
      <c r="I32" s="11" t="s">
        <v>137</v>
      </c>
      <c r="J32" s="12" t="s">
        <v>138</v>
      </c>
      <c r="K32" s="13" t="s">
        <v>39</v>
      </c>
      <c r="L32" s="11" t="str">
        <f>"000101"</f>
        <v>000101</v>
      </c>
      <c r="M32" s="10">
        <v>43157</v>
      </c>
      <c r="N32" s="11" t="str">
        <f>"000030"</f>
        <v>000030</v>
      </c>
      <c r="O32" s="10">
        <v>43286</v>
      </c>
      <c r="P32" s="11" t="str">
        <f>"000043"</f>
        <v>000043</v>
      </c>
      <c r="Q32" s="10">
        <v>43286</v>
      </c>
      <c r="R32" s="11">
        <v>18</v>
      </c>
      <c r="S32" s="11" t="str">
        <f>"004066"</f>
        <v>004066</v>
      </c>
      <c r="T32" s="10">
        <v>43301</v>
      </c>
      <c r="U32" s="14">
        <v>59.985500000000002</v>
      </c>
      <c r="V32" s="14">
        <v>7.3829000000000002</v>
      </c>
      <c r="W32" s="14">
        <v>52.602600000000002</v>
      </c>
      <c r="X32" s="11">
        <v>166</v>
      </c>
      <c r="Y32" s="10">
        <v>43325</v>
      </c>
      <c r="Z32" s="11">
        <v>9986697126</v>
      </c>
      <c r="AA32" s="12" t="s">
        <v>73</v>
      </c>
      <c r="AB32" s="11" t="s">
        <v>118</v>
      </c>
      <c r="AC32" s="12" t="s">
        <v>119</v>
      </c>
      <c r="AD32" s="11" t="s">
        <v>53</v>
      </c>
      <c r="AE32" s="12" t="s">
        <v>54</v>
      </c>
      <c r="AF32" s="14">
        <v>0.59985500000000003</v>
      </c>
      <c r="AG32" s="11" t="s">
        <v>95</v>
      </c>
    </row>
    <row r="33" spans="1:33" x14ac:dyDescent="0.2">
      <c r="A33" s="8">
        <v>5563</v>
      </c>
      <c r="B33" s="9" t="s">
        <v>139</v>
      </c>
      <c r="C33" s="10">
        <v>43363</v>
      </c>
      <c r="D33" s="11">
        <v>161</v>
      </c>
      <c r="E33" s="12" t="s">
        <v>34</v>
      </c>
      <c r="F33" s="12" t="s">
        <v>35</v>
      </c>
      <c r="G33" s="12" t="s">
        <v>35</v>
      </c>
      <c r="H33" s="12" t="s">
        <v>36</v>
      </c>
      <c r="I33" s="11" t="s">
        <v>140</v>
      </c>
      <c r="J33" s="12" t="s">
        <v>141</v>
      </c>
      <c r="K33" s="13" t="s">
        <v>49</v>
      </c>
      <c r="L33" s="11" t="str">
        <f>"000104"</f>
        <v>000104</v>
      </c>
      <c r="M33" s="10">
        <v>43157</v>
      </c>
      <c r="N33" s="11" t="str">
        <f>"000038"</f>
        <v>000038</v>
      </c>
      <c r="O33" s="10">
        <v>43330</v>
      </c>
      <c r="P33" s="11" t="str">
        <f>"000074"</f>
        <v>000074</v>
      </c>
      <c r="Q33" s="10">
        <v>43330</v>
      </c>
      <c r="R33" s="11">
        <v>18</v>
      </c>
      <c r="S33" s="11" t="str">
        <f>"005760"</f>
        <v>005760</v>
      </c>
      <c r="T33" s="10">
        <v>43358</v>
      </c>
      <c r="U33" s="14">
        <v>39.978299999999997</v>
      </c>
      <c r="V33" s="14">
        <v>4.8759499999999996</v>
      </c>
      <c r="W33" s="14">
        <v>35.102350000000001</v>
      </c>
      <c r="X33" s="11">
        <v>209</v>
      </c>
      <c r="Y33" s="10">
        <v>43363</v>
      </c>
      <c r="Z33" s="11">
        <v>9986697126</v>
      </c>
      <c r="AA33" s="12" t="s">
        <v>73</v>
      </c>
      <c r="AB33" s="11" t="s">
        <v>118</v>
      </c>
      <c r="AC33" s="12" t="s">
        <v>119</v>
      </c>
      <c r="AD33" s="11" t="s">
        <v>53</v>
      </c>
      <c r="AE33" s="12" t="s">
        <v>54</v>
      </c>
      <c r="AF33" s="14">
        <f t="shared" ref="AF33:AF50" si="0">U33/100</f>
        <v>0.399783</v>
      </c>
      <c r="AG33" s="11" t="s">
        <v>95</v>
      </c>
    </row>
    <row r="34" spans="1:33" x14ac:dyDescent="0.2">
      <c r="A34" s="8">
        <v>5736</v>
      </c>
      <c r="B34" s="9" t="s">
        <v>139</v>
      </c>
      <c r="C34" s="10">
        <v>43370</v>
      </c>
      <c r="D34" s="11">
        <v>161</v>
      </c>
      <c r="E34" s="12" t="s">
        <v>34</v>
      </c>
      <c r="F34" s="12" t="s">
        <v>35</v>
      </c>
      <c r="G34" s="12" t="s">
        <v>35</v>
      </c>
      <c r="H34" s="12" t="s">
        <v>36</v>
      </c>
      <c r="I34" s="11" t="s">
        <v>142</v>
      </c>
      <c r="J34" s="12" t="s">
        <v>143</v>
      </c>
      <c r="K34" s="13" t="s">
        <v>39</v>
      </c>
      <c r="L34" s="11" t="str">
        <f>"000075"</f>
        <v>000075</v>
      </c>
      <c r="M34" s="10">
        <v>42797</v>
      </c>
      <c r="N34" s="11" t="str">
        <f>"000026"</f>
        <v>000026</v>
      </c>
      <c r="O34" s="10">
        <v>42852</v>
      </c>
      <c r="P34" s="11" t="str">
        <f>"000021"</f>
        <v>000021</v>
      </c>
      <c r="Q34" s="10">
        <v>42853</v>
      </c>
      <c r="R34" s="11">
        <v>17</v>
      </c>
      <c r="S34" s="11" t="str">
        <f>"005900"</f>
        <v>005900</v>
      </c>
      <c r="T34" s="10">
        <v>43367</v>
      </c>
      <c r="U34" s="14">
        <v>16.5307</v>
      </c>
      <c r="V34" s="14">
        <v>2.2504</v>
      </c>
      <c r="W34" s="14">
        <v>14.2803</v>
      </c>
      <c r="X34" s="11">
        <v>217</v>
      </c>
      <c r="Y34" s="10">
        <v>43370</v>
      </c>
      <c r="Z34" s="11">
        <v>9448085873</v>
      </c>
      <c r="AA34" s="12" t="s">
        <v>144</v>
      </c>
      <c r="AB34" s="11" t="s">
        <v>51</v>
      </c>
      <c r="AC34" s="12" t="s">
        <v>52</v>
      </c>
      <c r="AD34" s="11" t="s">
        <v>53</v>
      </c>
      <c r="AE34" s="12" t="s">
        <v>54</v>
      </c>
      <c r="AF34" s="14">
        <f t="shared" si="0"/>
        <v>0.16530699999999998</v>
      </c>
      <c r="AG34" s="11" t="s">
        <v>45</v>
      </c>
    </row>
    <row r="35" spans="1:33" x14ac:dyDescent="0.2">
      <c r="A35" s="8">
        <v>5737</v>
      </c>
      <c r="B35" s="9" t="s">
        <v>139</v>
      </c>
      <c r="C35" s="10">
        <v>43370</v>
      </c>
      <c r="D35" s="11">
        <v>161</v>
      </c>
      <c r="E35" s="12" t="s">
        <v>34</v>
      </c>
      <c r="F35" s="12" t="s">
        <v>35</v>
      </c>
      <c r="G35" s="12" t="s">
        <v>35</v>
      </c>
      <c r="H35" s="12" t="s">
        <v>36</v>
      </c>
      <c r="I35" s="11" t="s">
        <v>145</v>
      </c>
      <c r="J35" s="12" t="s">
        <v>146</v>
      </c>
      <c r="K35" s="13" t="s">
        <v>39</v>
      </c>
      <c r="L35" s="11" t="str">
        <f>"000076"</f>
        <v>000076</v>
      </c>
      <c r="M35" s="10">
        <v>42797</v>
      </c>
      <c r="N35" s="11" t="str">
        <f>"000023"</f>
        <v>000023</v>
      </c>
      <c r="O35" s="10">
        <v>42852</v>
      </c>
      <c r="P35" s="11" t="str">
        <f>"000018"</f>
        <v>000018</v>
      </c>
      <c r="Q35" s="10">
        <v>42853</v>
      </c>
      <c r="R35" s="11">
        <v>17</v>
      </c>
      <c r="S35" s="11" t="str">
        <f>"005909"</f>
        <v>005909</v>
      </c>
      <c r="T35" s="10">
        <v>43367</v>
      </c>
      <c r="U35" s="14">
        <v>13.384399999999999</v>
      </c>
      <c r="V35" s="14">
        <v>1.8072999999999999</v>
      </c>
      <c r="W35" s="14">
        <v>11.5771</v>
      </c>
      <c r="X35" s="11">
        <v>217</v>
      </c>
      <c r="Y35" s="10">
        <v>43370</v>
      </c>
      <c r="Z35" s="11">
        <v>9448085873</v>
      </c>
      <c r="AA35" s="12" t="s">
        <v>144</v>
      </c>
      <c r="AB35" s="11" t="s">
        <v>51</v>
      </c>
      <c r="AC35" s="12" t="s">
        <v>52</v>
      </c>
      <c r="AD35" s="11" t="s">
        <v>53</v>
      </c>
      <c r="AE35" s="12" t="s">
        <v>54</v>
      </c>
      <c r="AF35" s="14">
        <f t="shared" si="0"/>
        <v>0.13384399999999999</v>
      </c>
      <c r="AG35" s="11" t="s">
        <v>45</v>
      </c>
    </row>
    <row r="36" spans="1:33" x14ac:dyDescent="0.2">
      <c r="A36" s="8">
        <v>5738</v>
      </c>
      <c r="B36" s="9" t="s">
        <v>139</v>
      </c>
      <c r="C36" s="10">
        <v>43370</v>
      </c>
      <c r="D36" s="11">
        <v>161</v>
      </c>
      <c r="E36" s="12" t="s">
        <v>34</v>
      </c>
      <c r="F36" s="12" t="s">
        <v>35</v>
      </c>
      <c r="G36" s="12" t="s">
        <v>35</v>
      </c>
      <c r="H36" s="12" t="s">
        <v>36</v>
      </c>
      <c r="I36" s="11" t="s">
        <v>147</v>
      </c>
      <c r="J36" s="12" t="s">
        <v>148</v>
      </c>
      <c r="K36" s="13" t="s">
        <v>39</v>
      </c>
      <c r="L36" s="11" t="str">
        <f>"000078"</f>
        <v>000078</v>
      </c>
      <c r="M36" s="10">
        <v>42797</v>
      </c>
      <c r="N36" s="11" t="str">
        <f>"000024"</f>
        <v>000024</v>
      </c>
      <c r="O36" s="10">
        <v>42852</v>
      </c>
      <c r="P36" s="11" t="str">
        <f>"000019"</f>
        <v>000019</v>
      </c>
      <c r="Q36" s="10">
        <v>42853</v>
      </c>
      <c r="R36" s="11">
        <v>17</v>
      </c>
      <c r="S36" s="11" t="str">
        <f>"005910"</f>
        <v>005910</v>
      </c>
      <c r="T36" s="10">
        <v>43367</v>
      </c>
      <c r="U36" s="14">
        <v>9.4481000000000002</v>
      </c>
      <c r="V36" s="14">
        <v>1.2805500000000001</v>
      </c>
      <c r="W36" s="14">
        <v>8.1675500000000003</v>
      </c>
      <c r="X36" s="11">
        <v>217</v>
      </c>
      <c r="Y36" s="10">
        <v>43370</v>
      </c>
      <c r="Z36" s="11">
        <v>9880656051</v>
      </c>
      <c r="AA36" s="12" t="s">
        <v>149</v>
      </c>
      <c r="AB36" s="11" t="s">
        <v>51</v>
      </c>
      <c r="AC36" s="12" t="s">
        <v>52</v>
      </c>
      <c r="AD36" s="11" t="s">
        <v>53</v>
      </c>
      <c r="AE36" s="12" t="s">
        <v>54</v>
      </c>
      <c r="AF36" s="14">
        <f t="shared" si="0"/>
        <v>9.4480999999999996E-2</v>
      </c>
      <c r="AG36" s="11" t="s">
        <v>45</v>
      </c>
    </row>
    <row r="37" spans="1:33" x14ac:dyDescent="0.2">
      <c r="A37" s="8">
        <v>5739</v>
      </c>
      <c r="B37" s="9" t="s">
        <v>139</v>
      </c>
      <c r="C37" s="10">
        <v>43370</v>
      </c>
      <c r="D37" s="11">
        <v>161</v>
      </c>
      <c r="E37" s="12" t="s">
        <v>34</v>
      </c>
      <c r="F37" s="12" t="s">
        <v>35</v>
      </c>
      <c r="G37" s="12" t="s">
        <v>35</v>
      </c>
      <c r="H37" s="12" t="s">
        <v>36</v>
      </c>
      <c r="I37" s="11" t="s">
        <v>150</v>
      </c>
      <c r="J37" s="12" t="s">
        <v>151</v>
      </c>
      <c r="K37" s="13" t="s">
        <v>39</v>
      </c>
      <c r="L37" s="11" t="str">
        <f>"000077"</f>
        <v>000077</v>
      </c>
      <c r="M37" s="10">
        <v>42797</v>
      </c>
      <c r="N37" s="11" t="str">
        <f>"000025"</f>
        <v>000025</v>
      </c>
      <c r="O37" s="10">
        <v>42852</v>
      </c>
      <c r="P37" s="11" t="str">
        <f>"000020"</f>
        <v>000020</v>
      </c>
      <c r="Q37" s="10">
        <v>42853</v>
      </c>
      <c r="R37" s="11">
        <v>17</v>
      </c>
      <c r="S37" s="11" t="str">
        <f>"005911"</f>
        <v>005911</v>
      </c>
      <c r="T37" s="10">
        <v>43367</v>
      </c>
      <c r="U37" s="14">
        <v>10.0937</v>
      </c>
      <c r="V37" s="14">
        <v>1.3996500000000001</v>
      </c>
      <c r="W37" s="14">
        <v>8.6940500000000007</v>
      </c>
      <c r="X37" s="11">
        <v>217</v>
      </c>
      <c r="Y37" s="10">
        <v>43370</v>
      </c>
      <c r="Z37" s="11">
        <v>9448085873</v>
      </c>
      <c r="AA37" s="12" t="s">
        <v>144</v>
      </c>
      <c r="AB37" s="11" t="s">
        <v>51</v>
      </c>
      <c r="AC37" s="12" t="s">
        <v>52</v>
      </c>
      <c r="AD37" s="11" t="s">
        <v>53</v>
      </c>
      <c r="AE37" s="12" t="s">
        <v>54</v>
      </c>
      <c r="AF37" s="14">
        <f t="shared" si="0"/>
        <v>0.100937</v>
      </c>
      <c r="AG37" s="11" t="s">
        <v>45</v>
      </c>
    </row>
    <row r="38" spans="1:33" x14ac:dyDescent="0.2">
      <c r="A38" s="8">
        <v>5740</v>
      </c>
      <c r="B38" s="9" t="s">
        <v>139</v>
      </c>
      <c r="C38" s="10">
        <v>43370</v>
      </c>
      <c r="D38" s="11">
        <v>161</v>
      </c>
      <c r="E38" s="12" t="s">
        <v>34</v>
      </c>
      <c r="F38" s="12" t="s">
        <v>35</v>
      </c>
      <c r="G38" s="12" t="s">
        <v>35</v>
      </c>
      <c r="H38" s="12" t="s">
        <v>36</v>
      </c>
      <c r="I38" s="11" t="s">
        <v>152</v>
      </c>
      <c r="J38" s="12" t="s">
        <v>153</v>
      </c>
      <c r="K38" s="13" t="s">
        <v>39</v>
      </c>
      <c r="L38" s="11" t="str">
        <f>"000014"</f>
        <v>000014</v>
      </c>
      <c r="M38" s="10">
        <v>42461</v>
      </c>
      <c r="N38" s="11" t="str">
        <f>"000200"</f>
        <v>000200</v>
      </c>
      <c r="O38" s="10">
        <v>42916</v>
      </c>
      <c r="P38" s="11" t="str">
        <f>"000075"</f>
        <v>000075</v>
      </c>
      <c r="Q38" s="10">
        <v>42916</v>
      </c>
      <c r="R38" s="11">
        <v>16</v>
      </c>
      <c r="S38" s="11" t="str">
        <f>"005921"</f>
        <v>005921</v>
      </c>
      <c r="T38" s="10">
        <v>43368</v>
      </c>
      <c r="U38" s="14">
        <v>0.43218000000000001</v>
      </c>
      <c r="V38" s="14">
        <v>3.0679999999999999E-2</v>
      </c>
      <c r="W38" s="14">
        <v>0.40150000000000002</v>
      </c>
      <c r="X38" s="11">
        <v>218</v>
      </c>
      <c r="Y38" s="10">
        <v>43370</v>
      </c>
      <c r="Z38" s="11">
        <v>0</v>
      </c>
      <c r="AA38" s="12" t="s">
        <v>154</v>
      </c>
      <c r="AB38" s="11" t="s">
        <v>155</v>
      </c>
      <c r="AC38" s="12" t="s">
        <v>156</v>
      </c>
      <c r="AD38" s="11" t="s">
        <v>43</v>
      </c>
      <c r="AE38" s="12" t="s">
        <v>44</v>
      </c>
      <c r="AF38" s="14">
        <f t="shared" si="0"/>
        <v>4.3217999999999998E-3</v>
      </c>
      <c r="AG38" s="11" t="s">
        <v>45</v>
      </c>
    </row>
    <row r="39" spans="1:33" x14ac:dyDescent="0.2">
      <c r="A39" s="8">
        <v>6629</v>
      </c>
      <c r="B39" s="9" t="s">
        <v>157</v>
      </c>
      <c r="C39" s="10">
        <v>43389</v>
      </c>
      <c r="D39" s="11">
        <v>161</v>
      </c>
      <c r="E39" s="12" t="s">
        <v>34</v>
      </c>
      <c r="F39" s="12" t="s">
        <v>35</v>
      </c>
      <c r="G39" s="12" t="s">
        <v>35</v>
      </c>
      <c r="H39" s="12" t="s">
        <v>36</v>
      </c>
      <c r="I39" s="11" t="s">
        <v>158</v>
      </c>
      <c r="J39" s="12" t="s">
        <v>159</v>
      </c>
      <c r="K39" s="13" t="s">
        <v>160</v>
      </c>
      <c r="L39" s="11" t="str">
        <f>"000011"</f>
        <v>000011</v>
      </c>
      <c r="M39" s="10">
        <v>42826</v>
      </c>
      <c r="N39" s="11" t="str">
        <f>"000039"</f>
        <v>000039</v>
      </c>
      <c r="O39" s="10">
        <v>42825</v>
      </c>
      <c r="P39" s="11" t="str">
        <f>"000335"</f>
        <v>000335</v>
      </c>
      <c r="Q39" s="10">
        <v>42826</v>
      </c>
      <c r="R39" s="11">
        <v>17</v>
      </c>
      <c r="S39" s="11" t="str">
        <f>"006586"</f>
        <v>006586</v>
      </c>
      <c r="T39" s="10">
        <v>43383</v>
      </c>
      <c r="U39" s="14">
        <v>7.8710000000000004</v>
      </c>
      <c r="V39" s="14">
        <v>1.1930000000000001</v>
      </c>
      <c r="W39" s="14">
        <v>6.6779999999999999</v>
      </c>
      <c r="X39" s="11">
        <v>243</v>
      </c>
      <c r="Y39" s="10">
        <v>43389</v>
      </c>
      <c r="Z39" s="11">
        <v>9986697126</v>
      </c>
      <c r="AA39" s="12" t="s">
        <v>161</v>
      </c>
      <c r="AB39" s="11" t="s">
        <v>162</v>
      </c>
      <c r="AC39" s="12" t="s">
        <v>163</v>
      </c>
      <c r="AD39" s="11" t="s">
        <v>164</v>
      </c>
      <c r="AE39" s="12" t="s">
        <v>165</v>
      </c>
      <c r="AF39" s="14">
        <f t="shared" si="0"/>
        <v>7.8710000000000002E-2</v>
      </c>
      <c r="AG39" s="11" t="s">
        <v>45</v>
      </c>
    </row>
    <row r="40" spans="1:33" x14ac:dyDescent="0.2">
      <c r="A40" s="8">
        <v>6858</v>
      </c>
      <c r="B40" s="9" t="s">
        <v>157</v>
      </c>
      <c r="C40" s="10">
        <v>43398</v>
      </c>
      <c r="D40" s="11">
        <v>161</v>
      </c>
      <c r="E40" s="12" t="s">
        <v>34</v>
      </c>
      <c r="F40" s="12" t="s">
        <v>35</v>
      </c>
      <c r="G40" s="12" t="s">
        <v>35</v>
      </c>
      <c r="H40" s="12" t="s">
        <v>36</v>
      </c>
      <c r="I40" s="11" t="s">
        <v>166</v>
      </c>
      <c r="J40" s="12" t="s">
        <v>167</v>
      </c>
      <c r="K40" s="13" t="s">
        <v>168</v>
      </c>
      <c r="L40" s="11" t="str">
        <f>"000102"</f>
        <v>000102</v>
      </c>
      <c r="M40" s="10">
        <v>43157</v>
      </c>
      <c r="N40" s="11" t="str">
        <f>"000041"</f>
        <v>000041</v>
      </c>
      <c r="O40" s="10">
        <v>43341</v>
      </c>
      <c r="P40" s="11" t="str">
        <f>"000080"</f>
        <v>000080</v>
      </c>
      <c r="Q40" s="10">
        <v>43341</v>
      </c>
      <c r="R40" s="11">
        <v>18</v>
      </c>
      <c r="S40" s="11" t="str">
        <f>"006752"</f>
        <v>006752</v>
      </c>
      <c r="T40" s="10">
        <v>43389</v>
      </c>
      <c r="U40" s="14">
        <v>24.946000000000002</v>
      </c>
      <c r="V40" s="14">
        <v>2.8875999999999999</v>
      </c>
      <c r="W40" s="14">
        <v>22.058399999999999</v>
      </c>
      <c r="X40" s="11">
        <v>249</v>
      </c>
      <c r="Y40" s="10">
        <v>43398</v>
      </c>
      <c r="Z40" s="11">
        <v>9986697126</v>
      </c>
      <c r="AA40" s="12" t="s">
        <v>169</v>
      </c>
      <c r="AB40" s="11" t="s">
        <v>118</v>
      </c>
      <c r="AC40" s="12" t="s">
        <v>119</v>
      </c>
      <c r="AD40" s="11" t="s">
        <v>53</v>
      </c>
      <c r="AE40" s="12" t="s">
        <v>54</v>
      </c>
      <c r="AF40" s="14">
        <f t="shared" si="0"/>
        <v>0.24946000000000002</v>
      </c>
      <c r="AG40" s="11" t="s">
        <v>95</v>
      </c>
    </row>
    <row r="41" spans="1:33" x14ac:dyDescent="0.2">
      <c r="A41" s="8">
        <v>7271</v>
      </c>
      <c r="B41" s="9" t="s">
        <v>170</v>
      </c>
      <c r="C41" s="10">
        <v>43420</v>
      </c>
      <c r="D41" s="11">
        <v>161</v>
      </c>
      <c r="E41" s="12" t="s">
        <v>34</v>
      </c>
      <c r="F41" s="12" t="s">
        <v>35</v>
      </c>
      <c r="G41" s="12" t="s">
        <v>35</v>
      </c>
      <c r="H41" s="12" t="s">
        <v>36</v>
      </c>
      <c r="I41" s="11" t="s">
        <v>171</v>
      </c>
      <c r="J41" s="12" t="s">
        <v>172</v>
      </c>
      <c r="K41" s="13" t="s">
        <v>49</v>
      </c>
      <c r="L41" s="11" t="str">
        <f>"000049"</f>
        <v>000049</v>
      </c>
      <c r="M41" s="10">
        <v>42762</v>
      </c>
      <c r="N41" s="11" t="str">
        <f>"000049"</f>
        <v>000049</v>
      </c>
      <c r="O41" s="10">
        <v>42879</v>
      </c>
      <c r="P41" s="11" t="str">
        <f>"000059"</f>
        <v>000059</v>
      </c>
      <c r="Q41" s="10">
        <v>42879</v>
      </c>
      <c r="R41" s="11">
        <v>17</v>
      </c>
      <c r="S41" s="11" t="str">
        <f>"007291"</f>
        <v>007291</v>
      </c>
      <c r="T41" s="10">
        <v>43407</v>
      </c>
      <c r="U41" s="14">
        <v>49.405299999999997</v>
      </c>
      <c r="V41" s="14">
        <v>7.5282999999999998</v>
      </c>
      <c r="W41" s="14">
        <v>41.877000000000002</v>
      </c>
      <c r="X41" s="11">
        <v>266</v>
      </c>
      <c r="Y41" s="10">
        <v>43420</v>
      </c>
      <c r="Z41" s="11">
        <v>9986697126</v>
      </c>
      <c r="AA41" s="12" t="s">
        <v>73</v>
      </c>
      <c r="AB41" s="11" t="s">
        <v>173</v>
      </c>
      <c r="AC41" s="12" t="s">
        <v>174</v>
      </c>
      <c r="AD41" s="11" t="s">
        <v>53</v>
      </c>
      <c r="AE41" s="12" t="s">
        <v>54</v>
      </c>
      <c r="AF41" s="14">
        <f t="shared" si="0"/>
        <v>0.49405299999999996</v>
      </c>
      <c r="AG41" s="11" t="s">
        <v>45</v>
      </c>
    </row>
    <row r="42" spans="1:33" x14ac:dyDescent="0.2">
      <c r="A42" s="8">
        <v>7416</v>
      </c>
      <c r="B42" s="9" t="s">
        <v>170</v>
      </c>
      <c r="C42" s="10">
        <v>43431</v>
      </c>
      <c r="D42" s="11">
        <v>161</v>
      </c>
      <c r="E42" s="12" t="s">
        <v>34</v>
      </c>
      <c r="F42" s="12" t="s">
        <v>35</v>
      </c>
      <c r="G42" s="12" t="s">
        <v>35</v>
      </c>
      <c r="H42" s="12" t="s">
        <v>36</v>
      </c>
      <c r="I42" s="11" t="s">
        <v>175</v>
      </c>
      <c r="J42" s="12" t="s">
        <v>176</v>
      </c>
      <c r="K42" s="13" t="s">
        <v>49</v>
      </c>
      <c r="L42" s="11" t="str">
        <f>"000115"</f>
        <v>000115</v>
      </c>
      <c r="M42" s="10">
        <v>43167</v>
      </c>
      <c r="N42" s="11" t="str">
        <f>"000012"</f>
        <v>000012</v>
      </c>
      <c r="O42" s="10">
        <v>43239</v>
      </c>
      <c r="P42" s="11" t="str">
        <f>"000012"</f>
        <v>000012</v>
      </c>
      <c r="Q42" s="10">
        <v>43241</v>
      </c>
      <c r="R42" s="11">
        <v>18</v>
      </c>
      <c r="S42" s="11" t="str">
        <f>"007594"</f>
        <v>007594</v>
      </c>
      <c r="T42" s="10">
        <v>43431</v>
      </c>
      <c r="U42" s="14">
        <v>44.898499999999999</v>
      </c>
      <c r="V42" s="14">
        <v>5.2805499999999999</v>
      </c>
      <c r="W42" s="14">
        <v>39.61795</v>
      </c>
      <c r="X42" s="11">
        <v>275</v>
      </c>
      <c r="Y42" s="10">
        <v>43431</v>
      </c>
      <c r="Z42" s="11">
        <v>9448090581</v>
      </c>
      <c r="AA42" s="12" t="s">
        <v>177</v>
      </c>
      <c r="AB42" s="11" t="s">
        <v>162</v>
      </c>
      <c r="AC42" s="12" t="s">
        <v>163</v>
      </c>
      <c r="AD42" s="11" t="s">
        <v>53</v>
      </c>
      <c r="AE42" s="12" t="s">
        <v>54</v>
      </c>
      <c r="AF42" s="14">
        <f t="shared" si="0"/>
        <v>0.44898499999999997</v>
      </c>
      <c r="AG42" s="11" t="s">
        <v>95</v>
      </c>
    </row>
    <row r="43" spans="1:33" x14ac:dyDescent="0.2">
      <c r="A43" s="8">
        <v>7417</v>
      </c>
      <c r="B43" s="9" t="s">
        <v>170</v>
      </c>
      <c r="C43" s="10">
        <v>43431</v>
      </c>
      <c r="D43" s="11">
        <v>161</v>
      </c>
      <c r="E43" s="12" t="s">
        <v>34</v>
      </c>
      <c r="F43" s="12" t="s">
        <v>35</v>
      </c>
      <c r="G43" s="12" t="s">
        <v>35</v>
      </c>
      <c r="H43" s="12" t="s">
        <v>36</v>
      </c>
      <c r="I43" s="11" t="s">
        <v>178</v>
      </c>
      <c r="J43" s="12" t="s">
        <v>179</v>
      </c>
      <c r="K43" s="13" t="s">
        <v>49</v>
      </c>
      <c r="L43" s="11" t="str">
        <f>"000129"</f>
        <v>000129</v>
      </c>
      <c r="M43" s="10">
        <v>43185</v>
      </c>
      <c r="N43" s="11" t="str">
        <f>"000024"</f>
        <v>000024</v>
      </c>
      <c r="O43" s="10">
        <v>43278</v>
      </c>
      <c r="P43" s="11" t="str">
        <f>"000038"</f>
        <v>000038</v>
      </c>
      <c r="Q43" s="10">
        <v>43278</v>
      </c>
      <c r="R43" s="11">
        <v>18</v>
      </c>
      <c r="S43" s="11" t="str">
        <f>"007595"</f>
        <v>007595</v>
      </c>
      <c r="T43" s="10">
        <v>43431</v>
      </c>
      <c r="U43" s="14">
        <v>44.478999999999999</v>
      </c>
      <c r="V43" s="14">
        <v>5.0334000000000003</v>
      </c>
      <c r="W43" s="14">
        <v>39.445599999999999</v>
      </c>
      <c r="X43" s="11">
        <v>275</v>
      </c>
      <c r="Y43" s="10">
        <v>43431</v>
      </c>
      <c r="Z43" s="11">
        <v>9980818728</v>
      </c>
      <c r="AA43" s="12" t="s">
        <v>180</v>
      </c>
      <c r="AB43" s="11" t="s">
        <v>162</v>
      </c>
      <c r="AC43" s="12" t="s">
        <v>163</v>
      </c>
      <c r="AD43" s="11" t="s">
        <v>53</v>
      </c>
      <c r="AE43" s="12" t="s">
        <v>54</v>
      </c>
      <c r="AF43" s="14">
        <f t="shared" si="0"/>
        <v>0.44479000000000002</v>
      </c>
      <c r="AG43" s="11" t="s">
        <v>95</v>
      </c>
    </row>
    <row r="44" spans="1:33" x14ac:dyDescent="0.2">
      <c r="A44" s="8">
        <v>7586</v>
      </c>
      <c r="B44" s="9" t="s">
        <v>181</v>
      </c>
      <c r="C44" s="10">
        <v>43437</v>
      </c>
      <c r="D44" s="11">
        <v>161</v>
      </c>
      <c r="E44" s="12" t="s">
        <v>34</v>
      </c>
      <c r="F44" s="12" t="s">
        <v>35</v>
      </c>
      <c r="G44" s="12" t="s">
        <v>35</v>
      </c>
      <c r="H44" s="12" t="s">
        <v>36</v>
      </c>
      <c r="I44" s="11" t="s">
        <v>182</v>
      </c>
      <c r="J44" s="12" t="s">
        <v>183</v>
      </c>
      <c r="K44" s="13" t="s">
        <v>49</v>
      </c>
      <c r="L44" s="11" t="str">
        <f>"000050"</f>
        <v>000050</v>
      </c>
      <c r="M44" s="10">
        <v>42762</v>
      </c>
      <c r="N44" s="11" t="str">
        <f>"000042"</f>
        <v>000042</v>
      </c>
      <c r="O44" s="10">
        <v>42861</v>
      </c>
      <c r="P44" s="11" t="str">
        <f>"000043"</f>
        <v>000043</v>
      </c>
      <c r="Q44" s="10">
        <v>42870</v>
      </c>
      <c r="R44" s="11">
        <v>17</v>
      </c>
      <c r="S44" s="11" t="str">
        <f>"007437"</f>
        <v>007437</v>
      </c>
      <c r="T44" s="10">
        <v>43421</v>
      </c>
      <c r="U44" s="14">
        <v>49.4268</v>
      </c>
      <c r="V44" s="14">
        <v>7.6881500000000003</v>
      </c>
      <c r="W44" s="14">
        <v>41.73865</v>
      </c>
      <c r="X44" s="11">
        <v>279</v>
      </c>
      <c r="Y44" s="10">
        <v>43437</v>
      </c>
      <c r="Z44" s="11">
        <v>9986697126</v>
      </c>
      <c r="AA44" s="12" t="s">
        <v>73</v>
      </c>
      <c r="AB44" s="11" t="s">
        <v>173</v>
      </c>
      <c r="AC44" s="12" t="s">
        <v>174</v>
      </c>
      <c r="AD44" s="11" t="s">
        <v>53</v>
      </c>
      <c r="AE44" s="12" t="s">
        <v>54</v>
      </c>
      <c r="AF44" s="14">
        <f t="shared" si="0"/>
        <v>0.49426799999999999</v>
      </c>
      <c r="AG44" s="11" t="s">
        <v>45</v>
      </c>
    </row>
    <row r="45" spans="1:33" x14ac:dyDescent="0.2">
      <c r="A45" s="8">
        <v>7662</v>
      </c>
      <c r="B45" s="9" t="s">
        <v>181</v>
      </c>
      <c r="C45" s="10">
        <v>43441</v>
      </c>
      <c r="D45" s="11">
        <v>161</v>
      </c>
      <c r="E45" s="12" t="s">
        <v>34</v>
      </c>
      <c r="F45" s="12" t="s">
        <v>35</v>
      </c>
      <c r="G45" s="12" t="s">
        <v>35</v>
      </c>
      <c r="H45" s="12" t="s">
        <v>36</v>
      </c>
      <c r="I45" s="11" t="s">
        <v>96</v>
      </c>
      <c r="J45" s="12" t="s">
        <v>97</v>
      </c>
      <c r="K45" s="13" t="s">
        <v>49</v>
      </c>
      <c r="L45" s="11" t="str">
        <f>"000044"</f>
        <v>000044</v>
      </c>
      <c r="M45" s="10">
        <v>43036</v>
      </c>
      <c r="N45" s="11" t="str">
        <f>"000039"</f>
        <v>000039</v>
      </c>
      <c r="O45" s="10">
        <v>43330</v>
      </c>
      <c r="P45" s="11" t="str">
        <f>"000130"</f>
        <v>000130</v>
      </c>
      <c r="Q45" s="10">
        <v>43417</v>
      </c>
      <c r="R45" s="11">
        <v>17</v>
      </c>
      <c r="S45" s="11" t="str">
        <f>"007678"</f>
        <v>007678</v>
      </c>
      <c r="T45" s="10">
        <v>43438</v>
      </c>
      <c r="U45" s="14">
        <v>0.7379</v>
      </c>
      <c r="V45" s="14">
        <v>0.1072</v>
      </c>
      <c r="W45" s="14">
        <v>0.63070000000000004</v>
      </c>
      <c r="X45" s="11">
        <v>287</v>
      </c>
      <c r="Y45" s="10">
        <v>43441</v>
      </c>
      <c r="Z45" s="11">
        <v>9986697126</v>
      </c>
      <c r="AA45" s="12" t="s">
        <v>94</v>
      </c>
      <c r="AB45" s="11" t="s">
        <v>41</v>
      </c>
      <c r="AC45" s="12" t="s">
        <v>42</v>
      </c>
      <c r="AD45" s="11" t="s">
        <v>53</v>
      </c>
      <c r="AE45" s="12" t="s">
        <v>54</v>
      </c>
      <c r="AF45" s="14">
        <f t="shared" si="0"/>
        <v>7.3790000000000001E-3</v>
      </c>
      <c r="AG45" s="11" t="s">
        <v>95</v>
      </c>
    </row>
    <row r="46" spans="1:33" x14ac:dyDescent="0.2">
      <c r="A46" s="8">
        <v>7663</v>
      </c>
      <c r="B46" s="9" t="s">
        <v>181</v>
      </c>
      <c r="C46" s="10">
        <v>43441</v>
      </c>
      <c r="D46" s="11">
        <v>161</v>
      </c>
      <c r="E46" s="12" t="s">
        <v>34</v>
      </c>
      <c r="F46" s="12" t="s">
        <v>35</v>
      </c>
      <c r="G46" s="12" t="s">
        <v>35</v>
      </c>
      <c r="H46" s="12" t="s">
        <v>36</v>
      </c>
      <c r="I46" s="11" t="s">
        <v>91</v>
      </c>
      <c r="J46" s="12" t="s">
        <v>92</v>
      </c>
      <c r="K46" s="15" t="s">
        <v>184</v>
      </c>
      <c r="L46" s="11" t="str">
        <f>"000073"</f>
        <v>000073</v>
      </c>
      <c r="M46" s="10">
        <v>43103</v>
      </c>
      <c r="N46" s="11" t="str">
        <f>"000065"</f>
        <v>000065</v>
      </c>
      <c r="O46" s="10">
        <v>43411</v>
      </c>
      <c r="P46" s="11" t="str">
        <f>"000131"</f>
        <v>000131</v>
      </c>
      <c r="Q46" s="10">
        <v>43417</v>
      </c>
      <c r="R46" s="11">
        <v>17</v>
      </c>
      <c r="S46" s="11" t="str">
        <f>"007679"</f>
        <v>007679</v>
      </c>
      <c r="T46" s="10">
        <v>43438</v>
      </c>
      <c r="U46" s="14">
        <v>6.4664000000000001</v>
      </c>
      <c r="V46" s="14">
        <v>0.99429999999999996</v>
      </c>
      <c r="W46" s="14">
        <v>5.4721000000000002</v>
      </c>
      <c r="X46" s="11">
        <v>287</v>
      </c>
      <c r="Y46" s="10">
        <v>43441</v>
      </c>
      <c r="Z46" s="11">
        <v>9986697126</v>
      </c>
      <c r="AA46" s="12" t="s">
        <v>94</v>
      </c>
      <c r="AB46" s="11" t="s">
        <v>41</v>
      </c>
      <c r="AC46" s="12" t="s">
        <v>42</v>
      </c>
      <c r="AD46" s="11" t="s">
        <v>53</v>
      </c>
      <c r="AE46" s="12" t="s">
        <v>54</v>
      </c>
      <c r="AF46" s="14">
        <f t="shared" si="0"/>
        <v>6.4663999999999999E-2</v>
      </c>
      <c r="AG46" s="11" t="s">
        <v>95</v>
      </c>
    </row>
    <row r="47" spans="1:33" x14ac:dyDescent="0.2">
      <c r="A47" s="8">
        <v>8551</v>
      </c>
      <c r="B47" s="9" t="s">
        <v>185</v>
      </c>
      <c r="C47" s="10">
        <v>43475</v>
      </c>
      <c r="D47" s="11">
        <v>161</v>
      </c>
      <c r="E47" s="12" t="s">
        <v>34</v>
      </c>
      <c r="F47" s="12" t="s">
        <v>35</v>
      </c>
      <c r="G47" s="12" t="s">
        <v>35</v>
      </c>
      <c r="H47" s="12" t="s">
        <v>36</v>
      </c>
      <c r="I47" s="11" t="s">
        <v>186</v>
      </c>
      <c r="J47" s="12" t="s">
        <v>187</v>
      </c>
      <c r="K47" s="13" t="s">
        <v>39</v>
      </c>
      <c r="L47" s="11" t="str">
        <f>"000001"</f>
        <v>000001</v>
      </c>
      <c r="M47" s="10">
        <v>42830</v>
      </c>
      <c r="N47" s="11" t="str">
        <f>"000095"</f>
        <v>000095</v>
      </c>
      <c r="O47" s="10">
        <v>42908</v>
      </c>
      <c r="P47" s="11" t="str">
        <f>"000099"</f>
        <v>000099</v>
      </c>
      <c r="Q47" s="10">
        <v>42909</v>
      </c>
      <c r="R47" s="11"/>
      <c r="S47" s="11" t="str">
        <f>"008207"</f>
        <v>008207</v>
      </c>
      <c r="T47" s="10">
        <v>43455</v>
      </c>
      <c r="U47" s="14">
        <v>8.6580999999999992</v>
      </c>
      <c r="V47" s="14">
        <v>1.1488</v>
      </c>
      <c r="W47" s="14">
        <v>7.5092999999999996</v>
      </c>
      <c r="X47" s="11">
        <v>321</v>
      </c>
      <c r="Y47" s="10">
        <v>43475</v>
      </c>
      <c r="Z47" s="11">
        <v>9060907723</v>
      </c>
      <c r="AA47" s="12" t="s">
        <v>188</v>
      </c>
      <c r="AB47" s="11" t="s">
        <v>51</v>
      </c>
      <c r="AC47" s="12" t="s">
        <v>52</v>
      </c>
      <c r="AD47" s="11" t="s">
        <v>53</v>
      </c>
      <c r="AE47" s="12" t="s">
        <v>54</v>
      </c>
      <c r="AF47" s="14">
        <f t="shared" si="0"/>
        <v>8.6580999999999991E-2</v>
      </c>
      <c r="AG47" s="11" t="s">
        <v>45</v>
      </c>
    </row>
    <row r="48" spans="1:33" x14ac:dyDescent="0.2">
      <c r="A48" s="8">
        <v>9434</v>
      </c>
      <c r="B48" s="9" t="s">
        <v>189</v>
      </c>
      <c r="C48" s="10">
        <v>43526</v>
      </c>
      <c r="D48" s="11">
        <v>161</v>
      </c>
      <c r="E48" s="12" t="s">
        <v>34</v>
      </c>
      <c r="F48" s="12" t="s">
        <v>35</v>
      </c>
      <c r="G48" s="12" t="s">
        <v>35</v>
      </c>
      <c r="H48" s="12" t="s">
        <v>36</v>
      </c>
      <c r="I48" s="11" t="s">
        <v>190</v>
      </c>
      <c r="J48" s="12" t="s">
        <v>191</v>
      </c>
      <c r="K48" s="13" t="s">
        <v>192</v>
      </c>
      <c r="L48" s="11" t="str">
        <f>"000119"</f>
        <v>000119</v>
      </c>
      <c r="M48" s="10">
        <v>43383</v>
      </c>
      <c r="N48" s="11" t="str">
        <f>"000087"</f>
        <v>000087</v>
      </c>
      <c r="O48" s="10">
        <v>43469</v>
      </c>
      <c r="P48" s="11" t="str">
        <f>"000169"</f>
        <v>000169</v>
      </c>
      <c r="Q48" s="10">
        <v>43469</v>
      </c>
      <c r="R48" s="11"/>
      <c r="S48" s="11" t="str">
        <f>"009217"</f>
        <v>009217</v>
      </c>
      <c r="T48" s="10">
        <v>43508</v>
      </c>
      <c r="U48" s="14">
        <v>2.9675500000000001</v>
      </c>
      <c r="V48" s="14">
        <v>0.39665</v>
      </c>
      <c r="W48" s="14">
        <v>2.5709</v>
      </c>
      <c r="X48" s="11">
        <v>364</v>
      </c>
      <c r="Y48" s="10">
        <v>43526</v>
      </c>
      <c r="Z48" s="11">
        <v>9986697126</v>
      </c>
      <c r="AA48" s="12" t="s">
        <v>94</v>
      </c>
      <c r="AB48" s="11" t="s">
        <v>193</v>
      </c>
      <c r="AC48" s="12" t="s">
        <v>194</v>
      </c>
      <c r="AD48" s="11" t="s">
        <v>53</v>
      </c>
      <c r="AE48" s="12" t="s">
        <v>54</v>
      </c>
      <c r="AF48" s="14">
        <f t="shared" si="0"/>
        <v>2.96755E-2</v>
      </c>
      <c r="AG48" s="11" t="s">
        <v>195</v>
      </c>
    </row>
    <row r="49" spans="1:33" x14ac:dyDescent="0.2">
      <c r="A49" s="8">
        <v>9601</v>
      </c>
      <c r="B49" s="9" t="s">
        <v>189</v>
      </c>
      <c r="C49" s="10">
        <v>43531</v>
      </c>
      <c r="D49" s="11">
        <v>161</v>
      </c>
      <c r="E49" s="12" t="s">
        <v>34</v>
      </c>
      <c r="F49" s="12" t="s">
        <v>35</v>
      </c>
      <c r="G49" s="12" t="s">
        <v>35</v>
      </c>
      <c r="H49" s="12" t="s">
        <v>36</v>
      </c>
      <c r="I49" s="11" t="s">
        <v>196</v>
      </c>
      <c r="J49" s="12" t="s">
        <v>197</v>
      </c>
      <c r="K49" s="13" t="s">
        <v>57</v>
      </c>
      <c r="L49" s="11" t="str">
        <f>"000083"</f>
        <v>000083</v>
      </c>
      <c r="M49" s="10">
        <v>43119</v>
      </c>
      <c r="N49" s="11" t="str">
        <f>"000049"</f>
        <v>000049</v>
      </c>
      <c r="O49" s="10">
        <v>43119</v>
      </c>
      <c r="P49" s="11" t="str">
        <f>"000085"</f>
        <v>000085</v>
      </c>
      <c r="Q49" s="10">
        <v>43122</v>
      </c>
      <c r="R49" s="11"/>
      <c r="S49" s="11" t="str">
        <f>"009496"</f>
        <v>009496</v>
      </c>
      <c r="T49" s="10">
        <v>43525</v>
      </c>
      <c r="U49" s="14">
        <v>8</v>
      </c>
      <c r="V49" s="14">
        <v>0</v>
      </c>
      <c r="W49" s="14">
        <v>8</v>
      </c>
      <c r="X49" s="11">
        <v>371</v>
      </c>
      <c r="Y49" s="10">
        <v>43531</v>
      </c>
      <c r="Z49" s="11">
        <v>9738838938</v>
      </c>
      <c r="AA49" s="12" t="s">
        <v>198</v>
      </c>
      <c r="AB49" s="11" t="s">
        <v>199</v>
      </c>
      <c r="AC49" s="12" t="s">
        <v>200</v>
      </c>
      <c r="AD49" s="11" t="s">
        <v>53</v>
      </c>
      <c r="AE49" s="12" t="s">
        <v>54</v>
      </c>
      <c r="AF49" s="14">
        <f t="shared" si="0"/>
        <v>0.08</v>
      </c>
      <c r="AG49" s="11" t="s">
        <v>45</v>
      </c>
    </row>
    <row r="50" spans="1:33" x14ac:dyDescent="0.2">
      <c r="A50" s="8">
        <v>9602</v>
      </c>
      <c r="B50" s="9" t="s">
        <v>189</v>
      </c>
      <c r="C50" s="10">
        <v>43531</v>
      </c>
      <c r="D50" s="11">
        <v>161</v>
      </c>
      <c r="E50" s="12" t="s">
        <v>34</v>
      </c>
      <c r="F50" s="12" t="s">
        <v>35</v>
      </c>
      <c r="G50" s="12" t="s">
        <v>35</v>
      </c>
      <c r="H50" s="12" t="s">
        <v>36</v>
      </c>
      <c r="I50" s="11" t="s">
        <v>201</v>
      </c>
      <c r="J50" s="12" t="s">
        <v>202</v>
      </c>
      <c r="K50" s="13" t="s">
        <v>160</v>
      </c>
      <c r="L50" s="11" t="str">
        <f>"000082"</f>
        <v>000082</v>
      </c>
      <c r="M50" s="10">
        <v>43119</v>
      </c>
      <c r="N50" s="11" t="str">
        <f>"000050"</f>
        <v>000050</v>
      </c>
      <c r="O50" s="10">
        <v>43119</v>
      </c>
      <c r="P50" s="11" t="str">
        <f>"000086"</f>
        <v>000086</v>
      </c>
      <c r="Q50" s="10">
        <v>43122</v>
      </c>
      <c r="R50" s="11"/>
      <c r="S50" s="11" t="str">
        <f>"009497"</f>
        <v>009497</v>
      </c>
      <c r="T50" s="10">
        <v>43525</v>
      </c>
      <c r="U50" s="14">
        <v>12</v>
      </c>
      <c r="V50" s="14">
        <v>0</v>
      </c>
      <c r="W50" s="14">
        <v>12</v>
      </c>
      <c r="X50" s="11">
        <v>371</v>
      </c>
      <c r="Y50" s="10">
        <v>43531</v>
      </c>
      <c r="Z50" s="11">
        <v>9738838938</v>
      </c>
      <c r="AA50" s="12" t="s">
        <v>198</v>
      </c>
      <c r="AB50" s="11" t="s">
        <v>199</v>
      </c>
      <c r="AC50" s="12" t="s">
        <v>200</v>
      </c>
      <c r="AD50" s="11" t="s">
        <v>53</v>
      </c>
      <c r="AE50" s="12" t="s">
        <v>54</v>
      </c>
      <c r="AF50" s="14">
        <f t="shared" si="0"/>
        <v>0.12</v>
      </c>
      <c r="AG50" s="11" t="s">
        <v>45</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2019-06-14T08:38:09Z</dcterms:modified>
</cp:coreProperties>
</file>