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6" i="1" l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AF12" i="1"/>
  <c r="S12" i="1"/>
  <c r="P12" i="1"/>
  <c r="N12" i="1"/>
  <c r="L12" i="1"/>
  <c r="AF11" i="1"/>
  <c r="S11" i="1"/>
  <c r="P11" i="1"/>
  <c r="N11" i="1"/>
  <c r="L11" i="1"/>
  <c r="AF10" i="1"/>
  <c r="S10" i="1"/>
  <c r="P10" i="1"/>
  <c r="N10" i="1"/>
  <c r="L10" i="1"/>
  <c r="AF9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<sst xmlns="http://schemas.openxmlformats.org/spreadsheetml/2006/main" count="383" uniqueCount="152">
  <si>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</si>
  <si>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</si>
  <si>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</si>
  <si>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</si>
  <si>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</si>
  <si>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</si>
  <si>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</si>
  <si>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</si>
  <si>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</si>
  <si>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</si>
  <si>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</si>
  <si>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</si>
  <si>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</si>
  <si>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</si>
  <si>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</si>
  <si>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</si>
  <si>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</si>
  <si>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</si>
  <si>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</si>
  <si>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</si>
  <si>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</si>
  <si>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</si>
  <si>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</si>
  <si>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</si>
  <si>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</si>
  <si>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</si>
  <si>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</si>
  <si>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</si>
  <si>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</si>
  <si>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</si>
  <si>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</si>
  <si>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</si>
  <si>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</si>
  <si>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</si>
  <si>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Vidya Peeta Ward</t>
  </si>
  <si>
    <t>Basavana Gudi</t>
  </si>
  <si>
    <t>South</t>
  </si>
  <si>
    <t>164-16-000024</t>
  </si>
  <si>
    <t>Providing Drinking water 2 nos of RO Plants at Vinayakanagar and Manjunatha colony in ward no 164</t>
  </si>
  <si>
    <t>Drinking Water</t>
  </si>
  <si>
    <t>Sri. Nataraj</t>
  </si>
  <si>
    <t>P1802</t>
  </si>
  <si>
    <t>Water Supply New Areas</t>
  </si>
  <si>
    <t>ddo489</t>
  </si>
  <si>
    <t xml:space="preserve"> Assistant Executive Engineer Girinagar South Zone</t>
  </si>
  <si>
    <t>Pending</t>
  </si>
  <si>
    <t>June</t>
  </si>
  <si>
    <t>164-17-000015</t>
  </si>
  <si>
    <t>Providing drinking water works in Ward No 164 in Basavangudi Division</t>
  </si>
  <si>
    <t>N.Damodaram (Nannuri construction)</t>
  </si>
  <si>
    <t>P3110</t>
  </si>
  <si>
    <t>14th Finance Commission Grant Works</t>
  </si>
  <si>
    <t>Spill Over</t>
  </si>
  <si>
    <t>July</t>
  </si>
  <si>
    <t>164-16-000002</t>
  </si>
  <si>
    <t>Operation and Maintenance of Street Lighting System in Ward No.164 Package S-13A of South Zone</t>
  </si>
  <si>
    <t>Footpaths &amp; Walkability</t>
  </si>
  <si>
    <t>Srinivasa Electricals (B.M.Hanumante Gowda)</t>
  </si>
  <si>
    <t>P0300</t>
  </si>
  <si>
    <t>M and R to Street Lights - Replacement of Burnt Bulbs etc. (Package)</t>
  </si>
  <si>
    <t>ddo258</t>
  </si>
  <si>
    <t xml:space="preserve"> Executive Engineer Electrical South Zone</t>
  </si>
  <si>
    <t>164-17-000024</t>
  </si>
  <si>
    <t>Engagement of Gangman and Hiring of Troctor Tippers for maintenance of road side drains and other civil works in ward no 164 (Vidyapeeta)</t>
  </si>
  <si>
    <t>Sri.K M Lokesh</t>
  </si>
  <si>
    <t>164-16-000004</t>
  </si>
  <si>
    <t>Filling up of potholes and road cutting in ward no-164 Vidyapeeta</t>
  </si>
  <si>
    <t>Roads &amp; Drivablility</t>
  </si>
  <si>
    <t>Sri. Vijay Kumar</t>
  </si>
  <si>
    <t>P1771</t>
  </si>
  <si>
    <t>Zone Works - POW Works</t>
  </si>
  <si>
    <t>August</t>
  </si>
  <si>
    <t>164-16-000009</t>
  </si>
  <si>
    <t>Desilting of drains at 5th, 6th, 7th and 8th cross and surrounding area of BSK 1st stage in ward no-164.</t>
  </si>
  <si>
    <t>Sri.B.C Chandra Shekar</t>
  </si>
  <si>
    <t>September</t>
  </si>
  <si>
    <t>164-16-000011</t>
  </si>
  <si>
    <t>Providing culverts at 10th main 80 feet road junction in ward no-164</t>
  </si>
  <si>
    <t>Other Ward Works</t>
  </si>
  <si>
    <t>Sri. P.Girish</t>
  </si>
  <si>
    <t>October</t>
  </si>
  <si>
    <t>164-14-000003</t>
  </si>
  <si>
    <t>Maintenance of Ward No.164</t>
  </si>
  <si>
    <t>M/s. J.V Construction</t>
  </si>
  <si>
    <t>164-16-000016</t>
  </si>
  <si>
    <t>Asphalting to Chennammanakere Achukattu layout from 5th cross to 10th cross in ward no-164</t>
  </si>
  <si>
    <t>Sri. Ramaiah Lokesh</t>
  </si>
  <si>
    <t>P3106</t>
  </si>
  <si>
    <t>Nagarothana Works</t>
  </si>
  <si>
    <t>164-16-000019</t>
  </si>
  <si>
    <t>Improvements to damaged portion of roads in ward no-164</t>
  </si>
  <si>
    <t>November</t>
  </si>
  <si>
    <t>164-17-000005</t>
  </si>
  <si>
    <t>Providing and laying Cement concrete road at C T Bed and Gangamma layout in Ward No.164.Vidyapeeta</t>
  </si>
  <si>
    <t>Sri. Tangavelu Shanmuga</t>
  </si>
  <si>
    <t>164-17-000004</t>
  </si>
  <si>
    <t>Filling up of Pot Holes and road cutting in ward No-164</t>
  </si>
  <si>
    <t>Sri.S Satish</t>
  </si>
  <si>
    <t>164-17-000001</t>
  </si>
  <si>
    <t>Improvements to Park at behind the Vidyapeetha in ward 164</t>
  </si>
  <si>
    <t>Trees, Parks &amp; Playgrounds</t>
  </si>
  <si>
    <t>KRIDL</t>
  </si>
  <si>
    <t>P0190</t>
  </si>
  <si>
    <t>Works sanctioned by Hon Mayor</t>
  </si>
  <si>
    <t>ddo422</t>
  </si>
  <si>
    <t xml:space="preserve"> Executive Engineer Project - South Zone</t>
  </si>
  <si>
    <t>December</t>
  </si>
  <si>
    <t>164-16-000008</t>
  </si>
  <si>
    <t>Depot collection in ward no-164 Vidyapeeta</t>
  </si>
  <si>
    <t>Sri.Umapathi</t>
  </si>
  <si>
    <t>164-17-000009</t>
  </si>
  <si>
    <t>Improvements to Drain and Desilting at Mount joy extension and Ashoknagara in Ward No.164.</t>
  </si>
  <si>
    <t>Sri.G Umapathi</t>
  </si>
  <si>
    <t>164-18-000005</t>
  </si>
  <si>
    <t>Improvement and development of Parks and other works in Palike properties in ward No.164, Vidyapeetha.</t>
  </si>
  <si>
    <t>Lakshmisha K.S (Harshitha construction)</t>
  </si>
  <si>
    <t>P3292</t>
  </si>
  <si>
    <t>14th Finance Commission Works - Community Property Maintenance (including Parks)</t>
  </si>
  <si>
    <t>Current</t>
  </si>
  <si>
    <t>164-16-000013</t>
  </si>
  <si>
    <t>Desilting of drains at 1st, 2nd, 3rd 4th and 5th main road of Chennammanakere achukattu layout in ward no-164</t>
  </si>
  <si>
    <t>Sri.B. Shivakumar</t>
  </si>
  <si>
    <t>February</t>
  </si>
  <si>
    <t>164-17-000012</t>
  </si>
  <si>
    <t>Construction of Rangamandira Building at Chennammanakere achukattu layout in Ward No.164.</t>
  </si>
  <si>
    <t>Public Amenities</t>
  </si>
  <si>
    <t>K.S.Srinivasan</t>
  </si>
  <si>
    <t>164-16-000003</t>
  </si>
  <si>
    <t>Engagimg Private Tractor and Gangmen for Maintenance of ward no-164 Vidyapeeta</t>
  </si>
  <si>
    <t>Sri. K M Lokesh</t>
  </si>
  <si>
    <t>164-17-000014</t>
  </si>
  <si>
    <t>Providing tubular and flood lights in various parks in Vidyapeeta Ward No 164</t>
  </si>
  <si>
    <t>M/S.Sri Nanjundeshwara Electricals(B.S.Sachidananda)</t>
  </si>
  <si>
    <t>P1517</t>
  </si>
  <si>
    <t>Upgrading Street Lighting of Bangalore - Major Roads</t>
  </si>
  <si>
    <t>March</t>
  </si>
  <si>
    <t>164-18-000003</t>
  </si>
  <si>
    <t>Improvement Storm Water Drain in ward No. 164, Vidhyapeetha</t>
  </si>
  <si>
    <t>Storm Water Drains</t>
  </si>
  <si>
    <t>Lakshmeesha K.S</t>
  </si>
  <si>
    <t>P3297</t>
  </si>
  <si>
    <t>14th Finance Commission Grants - SWD Works</t>
  </si>
  <si>
    <t>164-17-000013</t>
  </si>
  <si>
    <t>Improvementsto Road Side Drain Gururaja layout in ward no.164</t>
  </si>
  <si>
    <t>Sri.K Kodanda Babu</t>
  </si>
  <si>
    <t>164-18-000040</t>
  </si>
  <si>
    <t xml:space="preserve">Improvements and beautification to Indira canteen at Ward no -164 </t>
  </si>
  <si>
    <t>Indira Canteen</t>
  </si>
  <si>
    <t>Executive Engineer-3, KRIDL (South)</t>
  </si>
  <si>
    <t>164-17-000010</t>
  </si>
  <si>
    <t>Construction of Dodda Rangegowdara Sabhangana building at C.K.Achukattu in Ward No.164</t>
  </si>
  <si>
    <t>Sri. G UMAPATHI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</si>
</sst>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workbookViewId="0">
      <pane ySplit="1" topLeftCell="A2" activePane="bottomLeft" state="frozen"/>
      <selection activeCell="H1" sqref="H1"/>
      <selection pane="bottomLeft" activeCell="A2" sqref="A2:XFD2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842</v>
      </c>
      <c r="B2" s="9" t="s">
        <v>33</v>
      </c>
      <c r="C2" s="10">
        <v>43225</v>
      </c>
      <c r="D2" s="11">
        <v>164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"000004"</f>
        <v>000004</v>
      </c>
      <c r="M2" s="10">
        <v>42489</v>
      </c>
      <c r="N2" s="11" t="str">
        <f>"000095"</f>
        <v>000095</v>
      </c>
      <c r="O2" s="10">
        <v>42779</v>
      </c>
      <c r="P2" s="11" t="str">
        <f>"000270"</f>
        <v>000270</v>
      </c>
      <c r="Q2" s="10">
        <v>42781</v>
      </c>
      <c r="R2" s="11">
        <v>16</v>
      </c>
      <c r="S2" s="11" t="str">
        <f>"001023"</f>
        <v>001023</v>
      </c>
      <c r="T2" s="10">
        <v>43223</v>
      </c>
      <c r="U2" s="14">
        <v>23.143000000000001</v>
      </c>
      <c r="V2" s="14">
        <v>3.0402</v>
      </c>
      <c r="W2" s="14">
        <v>20.102799999999998</v>
      </c>
      <c r="X2" s="11">
        <v>38</v>
      </c>
      <c r="Y2" s="10">
        <v>43225</v>
      </c>
      <c r="Z2" s="11">
        <v>9449041067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0.23143</v>
      </c>
      <c r="AG2" s="11" t="s">
        <v>45</v>
      </c>
    </row>
    <row r="3" spans="1:33" x14ac:dyDescent="0.2">
      <c r="A3" s="8">
        <v>2427</v>
      </c>
      <c r="B3" s="9" t="s">
        <v>46</v>
      </c>
      <c r="C3" s="10">
        <v>43271</v>
      </c>
      <c r="D3" s="11">
        <v>164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39</v>
      </c>
      <c r="L3" s="11" t="str">
        <f>"000011"</f>
        <v>000011</v>
      </c>
      <c r="M3" s="10">
        <v>42956</v>
      </c>
      <c r="N3" s="11" t="str">
        <f>"000010"</f>
        <v>000010</v>
      </c>
      <c r="O3" s="10">
        <v>43249</v>
      </c>
      <c r="P3" s="11" t="str">
        <f>"000020"</f>
        <v>000020</v>
      </c>
      <c r="Q3" s="10">
        <v>43250</v>
      </c>
      <c r="R3" s="11">
        <v>17</v>
      </c>
      <c r="S3" s="11" t="str">
        <f>"002712"</f>
        <v>002712</v>
      </c>
      <c r="T3" s="10">
        <v>43270</v>
      </c>
      <c r="U3" s="14">
        <v>11.465</v>
      </c>
      <c r="V3" s="14">
        <v>0.439</v>
      </c>
      <c r="W3" s="14">
        <v>11.026</v>
      </c>
      <c r="X3" s="11">
        <v>97</v>
      </c>
      <c r="Y3" s="10">
        <v>43271</v>
      </c>
      <c r="Z3" s="11">
        <v>9480307777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0.11465</v>
      </c>
      <c r="AG3" s="11" t="s">
        <v>52</v>
      </c>
    </row>
    <row r="4" spans="1:33" x14ac:dyDescent="0.2">
      <c r="A4" s="8">
        <v>3603</v>
      </c>
      <c r="B4" s="9" t="s">
        <v>53</v>
      </c>
      <c r="C4" s="10">
        <v>43299</v>
      </c>
      <c r="D4" s="11">
        <v>164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54</v>
      </c>
      <c r="J4" s="12" t="s">
        <v>55</v>
      </c>
      <c r="K4" s="13" t="s">
        <v>56</v>
      </c>
      <c r="L4" s="11" t="str">
        <f>"000003"</f>
        <v>000003</v>
      </c>
      <c r="M4" s="10">
        <v>42930</v>
      </c>
      <c r="N4" s="11" t="str">
        <f>"000152"</f>
        <v>000152</v>
      </c>
      <c r="O4" s="10">
        <v>43186</v>
      </c>
      <c r="P4" s="11" t="str">
        <f>"000159"</f>
        <v>000159</v>
      </c>
      <c r="Q4" s="10">
        <v>43187</v>
      </c>
      <c r="R4" s="11">
        <v>16</v>
      </c>
      <c r="S4" s="11" t="str">
        <f>"004315"</f>
        <v>004315</v>
      </c>
      <c r="T4" s="10">
        <v>43306</v>
      </c>
      <c r="U4" s="14">
        <v>10.287240000000001</v>
      </c>
      <c r="V4" s="14">
        <v>0.86938000000000004</v>
      </c>
      <c r="W4" s="14">
        <v>9.4178599999999992</v>
      </c>
      <c r="X4" s="11">
        <v>127</v>
      </c>
      <c r="Y4" s="10">
        <v>43299</v>
      </c>
      <c r="Z4" s="11">
        <v>0</v>
      </c>
      <c r="AA4" s="12" t="s">
        <v>57</v>
      </c>
      <c r="AB4" s="11" t="s">
        <v>58</v>
      </c>
      <c r="AC4" s="12" t="s">
        <v>59</v>
      </c>
      <c r="AD4" s="11" t="s">
        <v>60</v>
      </c>
      <c r="AE4" s="12" t="s">
        <v>61</v>
      </c>
      <c r="AF4" s="14">
        <v>0.1028724</v>
      </c>
      <c r="AG4" s="11" t="s">
        <v>45</v>
      </c>
    </row>
    <row r="5" spans="1:33" x14ac:dyDescent="0.2">
      <c r="A5" s="8">
        <v>3687</v>
      </c>
      <c r="B5" s="9" t="s">
        <v>53</v>
      </c>
      <c r="C5" s="10">
        <v>43300</v>
      </c>
      <c r="D5" s="11">
        <v>164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62</v>
      </c>
      <c r="J5" s="12" t="s">
        <v>63</v>
      </c>
      <c r="K5" s="13" t="s">
        <v>56</v>
      </c>
      <c r="L5" s="11" t="str">
        <f>"000029"</f>
        <v>000029</v>
      </c>
      <c r="M5" s="10">
        <v>42909</v>
      </c>
      <c r="N5" s="11" t="str">
        <f>"000013"</f>
        <v>000013</v>
      </c>
      <c r="O5" s="10">
        <v>43273</v>
      </c>
      <c r="P5" s="11" t="str">
        <f>"000024"</f>
        <v>000024</v>
      </c>
      <c r="Q5" s="10">
        <v>43273</v>
      </c>
      <c r="R5" s="11">
        <v>17</v>
      </c>
      <c r="S5" s="11" t="str">
        <f>"003751"</f>
        <v>003751</v>
      </c>
      <c r="T5" s="10">
        <v>43294</v>
      </c>
      <c r="U5" s="14">
        <v>5.9880000000000004</v>
      </c>
      <c r="V5" s="14">
        <v>0.24740000000000001</v>
      </c>
      <c r="W5" s="14">
        <v>5.7405999999999997</v>
      </c>
      <c r="X5" s="11">
        <v>133</v>
      </c>
      <c r="Y5" s="10">
        <v>43300</v>
      </c>
      <c r="Z5" s="11">
        <v>9845643063</v>
      </c>
      <c r="AA5" s="12" t="s">
        <v>64</v>
      </c>
      <c r="AB5" s="11" t="s">
        <v>50</v>
      </c>
      <c r="AC5" s="12" t="s">
        <v>51</v>
      </c>
      <c r="AD5" s="11" t="s">
        <v>43</v>
      </c>
      <c r="AE5" s="12" t="s">
        <v>44</v>
      </c>
      <c r="AF5" s="14">
        <v>5.9880000000000003E-2</v>
      </c>
      <c r="AG5" s="11" t="s">
        <v>52</v>
      </c>
    </row>
    <row r="6" spans="1:33" x14ac:dyDescent="0.2">
      <c r="A6" s="8">
        <v>4012</v>
      </c>
      <c r="B6" s="9" t="s">
        <v>53</v>
      </c>
      <c r="C6" s="10">
        <v>43307</v>
      </c>
      <c r="D6" s="11">
        <v>164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65</v>
      </c>
      <c r="J6" s="12" t="s">
        <v>66</v>
      </c>
      <c r="K6" s="13" t="s">
        <v>67</v>
      </c>
      <c r="L6" s="11" t="str">
        <f>"000019"</f>
        <v>000019</v>
      </c>
      <c r="M6" s="10">
        <v>42563</v>
      </c>
      <c r="N6" s="11" t="str">
        <f>"000097"</f>
        <v>000097</v>
      </c>
      <c r="O6" s="10">
        <v>42793</v>
      </c>
      <c r="P6" s="11" t="str">
        <f>"000282"</f>
        <v>000282</v>
      </c>
      <c r="Q6" s="10">
        <v>42794</v>
      </c>
      <c r="R6" s="11">
        <v>16</v>
      </c>
      <c r="S6" s="11" t="str">
        <f>"003983"</f>
        <v>003983</v>
      </c>
      <c r="T6" s="10">
        <v>43300</v>
      </c>
      <c r="U6" s="14">
        <v>8.9172600000000006</v>
      </c>
      <c r="V6" s="14">
        <v>0.65086999999999995</v>
      </c>
      <c r="W6" s="14">
        <v>8.2663899999999995</v>
      </c>
      <c r="X6" s="11">
        <v>142</v>
      </c>
      <c r="Y6" s="10">
        <v>43307</v>
      </c>
      <c r="Z6" s="11">
        <v>9035326044</v>
      </c>
      <c r="AA6" s="12" t="s">
        <v>68</v>
      </c>
      <c r="AB6" s="11" t="s">
        <v>69</v>
      </c>
      <c r="AC6" s="12" t="s">
        <v>70</v>
      </c>
      <c r="AD6" s="11" t="s">
        <v>43</v>
      </c>
      <c r="AE6" s="12" t="s">
        <v>44</v>
      </c>
      <c r="AF6" s="14">
        <v>8.9172600000000005E-2</v>
      </c>
      <c r="AG6" s="11" t="s">
        <v>45</v>
      </c>
    </row>
    <row r="7" spans="1:33" x14ac:dyDescent="0.2">
      <c r="A7" s="8">
        <v>4167</v>
      </c>
      <c r="B7" s="9" t="s">
        <v>53</v>
      </c>
      <c r="C7" s="10">
        <v>43308</v>
      </c>
      <c r="D7" s="11">
        <v>164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54</v>
      </c>
      <c r="J7" s="12" t="s">
        <v>55</v>
      </c>
      <c r="K7" s="13" t="s">
        <v>56</v>
      </c>
      <c r="L7" s="11" t="str">
        <f>"000003"</f>
        <v>000003</v>
      </c>
      <c r="M7" s="10">
        <v>42930</v>
      </c>
      <c r="N7" s="11" t="str">
        <f>"000152"</f>
        <v>000152</v>
      </c>
      <c r="O7" s="10">
        <v>43186</v>
      </c>
      <c r="P7" s="11" t="str">
        <f>"000159"</f>
        <v>000159</v>
      </c>
      <c r="Q7" s="10">
        <v>43187</v>
      </c>
      <c r="R7" s="11">
        <v>16</v>
      </c>
      <c r="S7" s="11" t="str">
        <f>"004315"</f>
        <v>004315</v>
      </c>
      <c r="T7" s="10">
        <v>43306</v>
      </c>
      <c r="U7" s="14">
        <v>3.47282</v>
      </c>
      <c r="V7" s="14">
        <v>0.30958000000000002</v>
      </c>
      <c r="W7" s="14">
        <v>3.1632400000000001</v>
      </c>
      <c r="X7" s="11">
        <v>146</v>
      </c>
      <c r="Y7" s="10">
        <v>43308</v>
      </c>
      <c r="Z7" s="11">
        <v>0</v>
      </c>
      <c r="AA7" s="12" t="s">
        <v>57</v>
      </c>
      <c r="AB7" s="11" t="s">
        <v>58</v>
      </c>
      <c r="AC7" s="12" t="s">
        <v>59</v>
      </c>
      <c r="AD7" s="11" t="s">
        <v>60</v>
      </c>
      <c r="AE7" s="12" t="s">
        <v>61</v>
      </c>
      <c r="AF7" s="14">
        <v>3.4728200000000001E-2</v>
      </c>
      <c r="AG7" s="11" t="s">
        <v>45</v>
      </c>
    </row>
    <row r="8" spans="1:33" x14ac:dyDescent="0.2">
      <c r="A8" s="8">
        <v>4592</v>
      </c>
      <c r="B8" s="9" t="s">
        <v>71</v>
      </c>
      <c r="C8" s="10">
        <v>43318</v>
      </c>
      <c r="D8" s="11">
        <v>164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72</v>
      </c>
      <c r="J8" s="12" t="s">
        <v>73</v>
      </c>
      <c r="K8" s="13" t="s">
        <v>56</v>
      </c>
      <c r="L8" s="11" t="str">
        <f>"000047"</f>
        <v>000047</v>
      </c>
      <c r="M8" s="10">
        <v>42424</v>
      </c>
      <c r="N8" s="11" t="str">
        <f>"000063"</f>
        <v>000063</v>
      </c>
      <c r="O8" s="10">
        <v>42793</v>
      </c>
      <c r="P8" s="11" t="str">
        <f>"000275"</f>
        <v>000275</v>
      </c>
      <c r="Q8" s="10">
        <v>42794</v>
      </c>
      <c r="R8" s="11">
        <v>16</v>
      </c>
      <c r="S8" s="11" t="str">
        <f>"004664"</f>
        <v>004664</v>
      </c>
      <c r="T8" s="10">
        <v>43313</v>
      </c>
      <c r="U8" s="14">
        <v>9.9849999999999994</v>
      </c>
      <c r="V8" s="14">
        <v>1.2811999999999999</v>
      </c>
      <c r="W8" s="14">
        <v>8.7037999999999993</v>
      </c>
      <c r="X8" s="11">
        <v>159</v>
      </c>
      <c r="Y8" s="10">
        <v>43318</v>
      </c>
      <c r="Z8" s="11">
        <v>9535252126</v>
      </c>
      <c r="AA8" s="12" t="s">
        <v>74</v>
      </c>
      <c r="AB8" s="11" t="s">
        <v>69</v>
      </c>
      <c r="AC8" s="12" t="s">
        <v>70</v>
      </c>
      <c r="AD8" s="11" t="s">
        <v>43</v>
      </c>
      <c r="AE8" s="12" t="s">
        <v>44</v>
      </c>
      <c r="AF8" s="14">
        <v>9.9849999999999994E-2</v>
      </c>
      <c r="AG8" s="11" t="s">
        <v>45</v>
      </c>
    </row>
    <row r="9" spans="1:33" x14ac:dyDescent="0.2">
      <c r="A9" s="8">
        <v>5325</v>
      </c>
      <c r="B9" s="9" t="s">
        <v>75</v>
      </c>
      <c r="C9" s="10">
        <v>43346</v>
      </c>
      <c r="D9" s="11">
        <v>164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76</v>
      </c>
      <c r="J9" s="12" t="s">
        <v>77</v>
      </c>
      <c r="K9" s="13" t="s">
        <v>78</v>
      </c>
      <c r="L9" s="11" t="str">
        <f>"00002B"</f>
        <v>00002B</v>
      </c>
      <c r="M9" s="10">
        <v>42488</v>
      </c>
      <c r="N9" s="11" t="str">
        <f>"00058A"</f>
        <v>00058A</v>
      </c>
      <c r="O9" s="10">
        <v>42808</v>
      </c>
      <c r="P9" s="11" t="str">
        <f>"000283"</f>
        <v>000283</v>
      </c>
      <c r="Q9" s="10">
        <v>42809</v>
      </c>
      <c r="R9" s="11">
        <v>16</v>
      </c>
      <c r="S9" s="11" t="str">
        <f>"005329"</f>
        <v>005329</v>
      </c>
      <c r="T9" s="10">
        <v>43333</v>
      </c>
      <c r="U9" s="14">
        <v>9.84</v>
      </c>
      <c r="V9" s="14">
        <v>1.3876999999999999</v>
      </c>
      <c r="W9" s="14">
        <v>8.4522999999999993</v>
      </c>
      <c r="X9" s="11">
        <v>193</v>
      </c>
      <c r="Y9" s="10">
        <v>43346</v>
      </c>
      <c r="Z9" s="11">
        <v>9535252126</v>
      </c>
      <c r="AA9" s="12" t="s">
        <v>79</v>
      </c>
      <c r="AB9" s="11" t="s">
        <v>69</v>
      </c>
      <c r="AC9" s="12" t="s">
        <v>70</v>
      </c>
      <c r="AD9" s="11" t="s">
        <v>43</v>
      </c>
      <c r="AE9" s="12" t="s">
        <v>44</v>
      </c>
      <c r="AF9" s="14">
        <f t="shared" ref="AF9:AF26" si="0">U9/100</f>
        <v>9.8400000000000001E-2</v>
      </c>
      <c r="AG9" s="11" t="s">
        <v>45</v>
      </c>
    </row>
    <row r="10" spans="1:33" x14ac:dyDescent="0.2">
      <c r="A10" s="8">
        <v>6259</v>
      </c>
      <c r="B10" s="9" t="s">
        <v>80</v>
      </c>
      <c r="C10" s="10">
        <v>43385</v>
      </c>
      <c r="D10" s="11">
        <v>164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81</v>
      </c>
      <c r="J10" s="12" t="s">
        <v>82</v>
      </c>
      <c r="K10" s="13" t="s">
        <v>78</v>
      </c>
      <c r="L10" s="11" t="str">
        <f>"000019"</f>
        <v>000019</v>
      </c>
      <c r="M10" s="10">
        <v>41922</v>
      </c>
      <c r="N10" s="11" t="str">
        <f>"000076"</f>
        <v>000076</v>
      </c>
      <c r="O10" s="10">
        <v>42695</v>
      </c>
      <c r="P10" s="11" t="str">
        <f>"000244"</f>
        <v>000244</v>
      </c>
      <c r="Q10" s="10">
        <v>42702</v>
      </c>
      <c r="R10" s="11">
        <v>14</v>
      </c>
      <c r="S10" s="11" t="str">
        <f>"006074"</f>
        <v>006074</v>
      </c>
      <c r="T10" s="10">
        <v>43374</v>
      </c>
      <c r="U10" s="14">
        <v>9.4139999999999997</v>
      </c>
      <c r="V10" s="14">
        <v>0.7036</v>
      </c>
      <c r="W10" s="14">
        <v>8.7103999999999999</v>
      </c>
      <c r="X10" s="11">
        <v>231</v>
      </c>
      <c r="Y10" s="10">
        <v>43385</v>
      </c>
      <c r="Z10" s="11">
        <v>9480933423</v>
      </c>
      <c r="AA10" s="12" t="s">
        <v>83</v>
      </c>
      <c r="AB10" s="11" t="s">
        <v>69</v>
      </c>
      <c r="AC10" s="12" t="s">
        <v>70</v>
      </c>
      <c r="AD10" s="11" t="s">
        <v>43</v>
      </c>
      <c r="AE10" s="12" t="s">
        <v>44</v>
      </c>
      <c r="AF10" s="14">
        <f t="shared" si="0"/>
        <v>9.4140000000000001E-2</v>
      </c>
      <c r="AG10" s="11" t="s">
        <v>45</v>
      </c>
    </row>
    <row r="11" spans="1:33" x14ac:dyDescent="0.2">
      <c r="A11" s="8">
        <v>6634</v>
      </c>
      <c r="B11" s="9" t="s">
        <v>80</v>
      </c>
      <c r="C11" s="10">
        <v>43389</v>
      </c>
      <c r="D11" s="11">
        <v>164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84</v>
      </c>
      <c r="J11" s="12" t="s">
        <v>85</v>
      </c>
      <c r="K11" s="13" t="s">
        <v>67</v>
      </c>
      <c r="L11" s="11" t="str">
        <f>"00040K"</f>
        <v>00040K</v>
      </c>
      <c r="M11" s="10">
        <v>42630</v>
      </c>
      <c r="N11" s="11" t="str">
        <f>"000008"</f>
        <v>000008</v>
      </c>
      <c r="O11" s="10">
        <v>43237</v>
      </c>
      <c r="P11" s="11" t="str">
        <f>"000011"</f>
        <v>000011</v>
      </c>
      <c r="Q11" s="10">
        <v>43237</v>
      </c>
      <c r="R11" s="11">
        <v>16</v>
      </c>
      <c r="S11" s="11" t="str">
        <f>"006681"</f>
        <v>006681</v>
      </c>
      <c r="T11" s="10">
        <v>43388</v>
      </c>
      <c r="U11" s="14">
        <v>25.015999999999998</v>
      </c>
      <c r="V11" s="14">
        <v>3.0348000000000002</v>
      </c>
      <c r="W11" s="14">
        <v>21.981200000000001</v>
      </c>
      <c r="X11" s="11">
        <v>235</v>
      </c>
      <c r="Y11" s="10">
        <v>43389</v>
      </c>
      <c r="Z11" s="11">
        <v>9164871884</v>
      </c>
      <c r="AA11" s="12" t="s">
        <v>86</v>
      </c>
      <c r="AB11" s="11" t="s">
        <v>87</v>
      </c>
      <c r="AC11" s="12" t="s">
        <v>88</v>
      </c>
      <c r="AD11" s="11" t="s">
        <v>43</v>
      </c>
      <c r="AE11" s="12" t="s">
        <v>44</v>
      </c>
      <c r="AF11" s="14">
        <f t="shared" si="0"/>
        <v>0.25015999999999999</v>
      </c>
      <c r="AG11" s="11" t="s">
        <v>52</v>
      </c>
    </row>
    <row r="12" spans="1:33" x14ac:dyDescent="0.2">
      <c r="A12" s="8">
        <v>6817</v>
      </c>
      <c r="B12" s="9" t="s">
        <v>80</v>
      </c>
      <c r="C12" s="10">
        <v>43396</v>
      </c>
      <c r="D12" s="11">
        <v>164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89</v>
      </c>
      <c r="J12" s="12" t="s">
        <v>90</v>
      </c>
      <c r="K12" s="13" t="s">
        <v>78</v>
      </c>
      <c r="L12" s="11" t="str">
        <f>"000004"</f>
        <v>000004</v>
      </c>
      <c r="M12" s="10">
        <v>43281</v>
      </c>
      <c r="N12" s="11" t="str">
        <f>"000021"</f>
        <v>000021</v>
      </c>
      <c r="O12" s="10">
        <v>43190</v>
      </c>
      <c r="P12" s="11" t="str">
        <f>"000038"</f>
        <v>000038</v>
      </c>
      <c r="Q12" s="10">
        <v>43281</v>
      </c>
      <c r="R12" s="11">
        <v>16</v>
      </c>
      <c r="S12" s="11" t="str">
        <f>"006882"</f>
        <v>006882</v>
      </c>
      <c r="T12" s="10">
        <v>43393</v>
      </c>
      <c r="U12" s="14">
        <v>27.585000000000001</v>
      </c>
      <c r="V12" s="14">
        <v>2.1452</v>
      </c>
      <c r="W12" s="14">
        <v>25.439800000000002</v>
      </c>
      <c r="X12" s="11">
        <v>246</v>
      </c>
      <c r="Y12" s="10">
        <v>43396</v>
      </c>
      <c r="Z12" s="11">
        <v>9164871884</v>
      </c>
      <c r="AA12" s="12" t="s">
        <v>86</v>
      </c>
      <c r="AB12" s="11" t="s">
        <v>87</v>
      </c>
      <c r="AC12" s="12" t="s">
        <v>88</v>
      </c>
      <c r="AD12" s="11" t="s">
        <v>43</v>
      </c>
      <c r="AE12" s="12" t="s">
        <v>44</v>
      </c>
      <c r="AF12" s="14">
        <f t="shared" si="0"/>
        <v>0.27584999999999998</v>
      </c>
      <c r="AG12" s="11" t="s">
        <v>52</v>
      </c>
    </row>
    <row r="13" spans="1:33" x14ac:dyDescent="0.2">
      <c r="A13" s="8">
        <v>7274</v>
      </c>
      <c r="B13" s="9" t="s">
        <v>91</v>
      </c>
      <c r="C13" s="10">
        <v>43420</v>
      </c>
      <c r="D13" s="11">
        <v>164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92</v>
      </c>
      <c r="J13" s="12" t="s">
        <v>93</v>
      </c>
      <c r="K13" s="13" t="s">
        <v>67</v>
      </c>
      <c r="L13" s="11" t="str">
        <f>"000063"</f>
        <v>000063</v>
      </c>
      <c r="M13" s="10">
        <v>42814</v>
      </c>
      <c r="N13" s="11" t="str">
        <f>"000025"</f>
        <v>000025</v>
      </c>
      <c r="O13" s="10">
        <v>42885</v>
      </c>
      <c r="P13" s="11" t="str">
        <f>"000042"</f>
        <v>000042</v>
      </c>
      <c r="Q13" s="10">
        <v>42885</v>
      </c>
      <c r="R13" s="11">
        <v>17</v>
      </c>
      <c r="S13" s="11" t="str">
        <f>"007292"</f>
        <v>007292</v>
      </c>
      <c r="T13" s="10">
        <v>43407</v>
      </c>
      <c r="U13" s="14">
        <v>18.364999999999998</v>
      </c>
      <c r="V13" s="14">
        <v>1.3836999999999999</v>
      </c>
      <c r="W13" s="14">
        <v>16.981300000000001</v>
      </c>
      <c r="X13" s="11">
        <v>266</v>
      </c>
      <c r="Y13" s="10">
        <v>43420</v>
      </c>
      <c r="Z13" s="11">
        <v>9448255086</v>
      </c>
      <c r="AA13" s="12" t="s">
        <v>94</v>
      </c>
      <c r="AB13" s="11" t="s">
        <v>69</v>
      </c>
      <c r="AC13" s="12" t="s">
        <v>70</v>
      </c>
      <c r="AD13" s="11" t="s">
        <v>43</v>
      </c>
      <c r="AE13" s="12" t="s">
        <v>44</v>
      </c>
      <c r="AF13" s="14">
        <f t="shared" si="0"/>
        <v>0.18364999999999998</v>
      </c>
      <c r="AG13" s="11" t="s">
        <v>45</v>
      </c>
    </row>
    <row r="14" spans="1:33" x14ac:dyDescent="0.2">
      <c r="A14" s="8">
        <v>7356</v>
      </c>
      <c r="B14" s="9" t="s">
        <v>91</v>
      </c>
      <c r="C14" s="10">
        <v>43424</v>
      </c>
      <c r="D14" s="11">
        <v>164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95</v>
      </c>
      <c r="J14" s="12" t="s">
        <v>96</v>
      </c>
      <c r="K14" s="13" t="s">
        <v>67</v>
      </c>
      <c r="L14" s="11" t="str">
        <f>"001645"</f>
        <v>001645</v>
      </c>
      <c r="M14" s="10">
        <v>42774</v>
      </c>
      <c r="N14" s="11" t="str">
        <f>"000016"</f>
        <v>000016</v>
      </c>
      <c r="O14" s="10">
        <v>43162</v>
      </c>
      <c r="P14" s="11" t="str">
        <f>"000036"</f>
        <v>000036</v>
      </c>
      <c r="Q14" s="10">
        <v>43186</v>
      </c>
      <c r="R14" s="11">
        <v>17</v>
      </c>
      <c r="S14" s="11" t="str">
        <f>"007299"</f>
        <v>007299</v>
      </c>
      <c r="T14" s="10">
        <v>43417</v>
      </c>
      <c r="U14" s="14">
        <v>16.22</v>
      </c>
      <c r="V14" s="14">
        <v>1.9609000000000001</v>
      </c>
      <c r="W14" s="14">
        <v>14.2591</v>
      </c>
      <c r="X14" s="11">
        <v>271</v>
      </c>
      <c r="Y14" s="10">
        <v>43424</v>
      </c>
      <c r="Z14" s="11">
        <v>9448026974</v>
      </c>
      <c r="AA14" s="12" t="s">
        <v>97</v>
      </c>
      <c r="AB14" s="11" t="s">
        <v>69</v>
      </c>
      <c r="AC14" s="12" t="s">
        <v>70</v>
      </c>
      <c r="AD14" s="11" t="s">
        <v>43</v>
      </c>
      <c r="AE14" s="12" t="s">
        <v>44</v>
      </c>
      <c r="AF14" s="14">
        <f t="shared" si="0"/>
        <v>0.16219999999999998</v>
      </c>
      <c r="AG14" s="11" t="s">
        <v>45</v>
      </c>
    </row>
    <row r="15" spans="1:33" x14ac:dyDescent="0.2">
      <c r="A15" s="8">
        <v>7442</v>
      </c>
      <c r="B15" s="9" t="s">
        <v>91</v>
      </c>
      <c r="C15" s="10">
        <v>43432</v>
      </c>
      <c r="D15" s="11">
        <v>164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98</v>
      </c>
      <c r="J15" s="12" t="s">
        <v>99</v>
      </c>
      <c r="K15" s="13" t="s">
        <v>100</v>
      </c>
      <c r="L15" s="11" t="str">
        <f>"00 119"</f>
        <v>00 119</v>
      </c>
      <c r="M15" s="10">
        <v>42667</v>
      </c>
      <c r="N15" s="11" t="str">
        <f>"000009"</f>
        <v>000009</v>
      </c>
      <c r="O15" s="10">
        <v>43003</v>
      </c>
      <c r="P15" s="11" t="str">
        <f>"000015"</f>
        <v>000015</v>
      </c>
      <c r="Q15" s="10">
        <v>43005</v>
      </c>
      <c r="R15" s="11">
        <v>17</v>
      </c>
      <c r="S15" s="11" t="str">
        <f>"007483"</f>
        <v>007483</v>
      </c>
      <c r="T15" s="10">
        <v>43424</v>
      </c>
      <c r="U15" s="14">
        <v>49.976999999999997</v>
      </c>
      <c r="V15" s="14">
        <v>7.49688</v>
      </c>
      <c r="W15" s="14">
        <v>42.480119999999999</v>
      </c>
      <c r="X15" s="11">
        <v>278</v>
      </c>
      <c r="Y15" s="10">
        <v>43432</v>
      </c>
      <c r="Z15" s="11">
        <v>9886193667</v>
      </c>
      <c r="AA15" s="12" t="s">
        <v>101</v>
      </c>
      <c r="AB15" s="11" t="s">
        <v>102</v>
      </c>
      <c r="AC15" s="12" t="s">
        <v>103</v>
      </c>
      <c r="AD15" s="11" t="s">
        <v>104</v>
      </c>
      <c r="AE15" s="12" t="s">
        <v>105</v>
      </c>
      <c r="AF15" s="14">
        <f t="shared" si="0"/>
        <v>0.49976999999999999</v>
      </c>
      <c r="AG15" s="11" t="s">
        <v>45</v>
      </c>
    </row>
    <row r="16" spans="1:33" x14ac:dyDescent="0.2">
      <c r="A16" s="8">
        <v>7591</v>
      </c>
      <c r="B16" s="9" t="s">
        <v>106</v>
      </c>
      <c r="C16" s="10">
        <v>43437</v>
      </c>
      <c r="D16" s="11">
        <v>164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107</v>
      </c>
      <c r="J16" s="12" t="s">
        <v>108</v>
      </c>
      <c r="K16" s="13" t="s">
        <v>78</v>
      </c>
      <c r="L16" s="11" t="str">
        <f>"00002A"</f>
        <v>00002A</v>
      </c>
      <c r="M16" s="10">
        <v>42545</v>
      </c>
      <c r="N16" s="11" t="str">
        <f>"000113"</f>
        <v>000113</v>
      </c>
      <c r="O16" s="10">
        <v>42853</v>
      </c>
      <c r="P16" s="11" t="str">
        <f>"000002"</f>
        <v>000002</v>
      </c>
      <c r="Q16" s="10">
        <v>42853</v>
      </c>
      <c r="R16" s="11">
        <v>16</v>
      </c>
      <c r="S16" s="11" t="str">
        <f>"007434"</f>
        <v>007434</v>
      </c>
      <c r="T16" s="10">
        <v>43421</v>
      </c>
      <c r="U16" s="14">
        <v>4.9980000000000002</v>
      </c>
      <c r="V16" s="14">
        <v>0.75970000000000004</v>
      </c>
      <c r="W16" s="14">
        <v>4.2382999999999997</v>
      </c>
      <c r="X16" s="11">
        <v>279</v>
      </c>
      <c r="Y16" s="10">
        <v>43437</v>
      </c>
      <c r="Z16" s="11">
        <v>9448026974</v>
      </c>
      <c r="AA16" s="12" t="s">
        <v>109</v>
      </c>
      <c r="AB16" s="11" t="s">
        <v>69</v>
      </c>
      <c r="AC16" s="12" t="s">
        <v>70</v>
      </c>
      <c r="AD16" s="11" t="s">
        <v>43</v>
      </c>
      <c r="AE16" s="12" t="s">
        <v>44</v>
      </c>
      <c r="AF16" s="14">
        <f t="shared" si="0"/>
        <v>4.9980000000000004E-2</v>
      </c>
      <c r="AG16" s="11" t="s">
        <v>45</v>
      </c>
    </row>
    <row r="17" spans="1:33" x14ac:dyDescent="0.2">
      <c r="A17" s="8">
        <v>7592</v>
      </c>
      <c r="B17" s="9" t="s">
        <v>106</v>
      </c>
      <c r="C17" s="10">
        <v>43437</v>
      </c>
      <c r="D17" s="11">
        <v>164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110</v>
      </c>
      <c r="J17" s="12" t="s">
        <v>111</v>
      </c>
      <c r="K17" s="13" t="s">
        <v>56</v>
      </c>
      <c r="L17" s="11" t="str">
        <f>"000061"</f>
        <v>000061</v>
      </c>
      <c r="M17" s="10">
        <v>42812</v>
      </c>
      <c r="N17" s="11" t="str">
        <f>"000012"</f>
        <v>000012</v>
      </c>
      <c r="O17" s="10">
        <v>42885</v>
      </c>
      <c r="P17" s="11" t="str">
        <f>"000038"</f>
        <v>000038</v>
      </c>
      <c r="Q17" s="10">
        <v>42886</v>
      </c>
      <c r="R17" s="11">
        <v>17</v>
      </c>
      <c r="S17" s="11" t="str">
        <f>"007436"</f>
        <v>007436</v>
      </c>
      <c r="T17" s="10">
        <v>43421</v>
      </c>
      <c r="U17" s="14">
        <v>9.4450000000000003</v>
      </c>
      <c r="V17" s="14">
        <v>0.84260000000000002</v>
      </c>
      <c r="W17" s="14">
        <v>8.6023999999999994</v>
      </c>
      <c r="X17" s="11">
        <v>279</v>
      </c>
      <c r="Y17" s="10">
        <v>43437</v>
      </c>
      <c r="Z17" s="11">
        <v>9448026974</v>
      </c>
      <c r="AA17" s="12" t="s">
        <v>112</v>
      </c>
      <c r="AB17" s="11" t="s">
        <v>69</v>
      </c>
      <c r="AC17" s="12" t="s">
        <v>70</v>
      </c>
      <c r="AD17" s="11" t="s">
        <v>43</v>
      </c>
      <c r="AE17" s="12" t="s">
        <v>44</v>
      </c>
      <c r="AF17" s="14">
        <f t="shared" si="0"/>
        <v>9.4450000000000006E-2</v>
      </c>
      <c r="AG17" s="11" t="s">
        <v>45</v>
      </c>
    </row>
    <row r="18" spans="1:33" x14ac:dyDescent="0.2">
      <c r="A18" s="8">
        <v>7801</v>
      </c>
      <c r="B18" s="9" t="s">
        <v>106</v>
      </c>
      <c r="C18" s="10">
        <v>43448</v>
      </c>
      <c r="D18" s="11">
        <v>164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113</v>
      </c>
      <c r="J18" s="12" t="s">
        <v>114</v>
      </c>
      <c r="K18" s="13" t="s">
        <v>100</v>
      </c>
      <c r="L18" s="11" t="str">
        <f>"000041"</f>
        <v>000041</v>
      </c>
      <c r="M18" s="10">
        <v>43298</v>
      </c>
      <c r="N18" s="11" t="str">
        <f>"000039"</f>
        <v>000039</v>
      </c>
      <c r="O18" s="10">
        <v>43389</v>
      </c>
      <c r="P18" s="11" t="str">
        <f>"000105"</f>
        <v>000105</v>
      </c>
      <c r="Q18" s="10">
        <v>43402</v>
      </c>
      <c r="R18" s="11">
        <v>18</v>
      </c>
      <c r="S18" s="11" t="str">
        <f>"007960"</f>
        <v>007960</v>
      </c>
      <c r="T18" s="10">
        <v>43447</v>
      </c>
      <c r="U18" s="14">
        <v>28.466000000000001</v>
      </c>
      <c r="V18" s="14">
        <v>3.5207999999999999</v>
      </c>
      <c r="W18" s="14">
        <v>24.9452</v>
      </c>
      <c r="X18" s="11">
        <v>290</v>
      </c>
      <c r="Y18" s="10">
        <v>43448</v>
      </c>
      <c r="Z18" s="11">
        <v>9448493618</v>
      </c>
      <c r="AA18" s="12" t="s">
        <v>115</v>
      </c>
      <c r="AB18" s="11" t="s">
        <v>116</v>
      </c>
      <c r="AC18" s="12" t="s">
        <v>117</v>
      </c>
      <c r="AD18" s="11" t="s">
        <v>43</v>
      </c>
      <c r="AE18" s="12" t="s">
        <v>44</v>
      </c>
      <c r="AF18" s="14">
        <f t="shared" si="0"/>
        <v>0.28466000000000002</v>
      </c>
      <c r="AG18" s="11" t="s">
        <v>118</v>
      </c>
    </row>
    <row r="19" spans="1:33" x14ac:dyDescent="0.2">
      <c r="A19" s="8">
        <v>8066</v>
      </c>
      <c r="B19" s="9" t="s">
        <v>106</v>
      </c>
      <c r="C19" s="10">
        <v>43455</v>
      </c>
      <c r="D19" s="11">
        <v>164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119</v>
      </c>
      <c r="J19" s="12" t="s">
        <v>120</v>
      </c>
      <c r="K19" s="13" t="s">
        <v>56</v>
      </c>
      <c r="L19" s="11" t="str">
        <f>"000048"</f>
        <v>000048</v>
      </c>
      <c r="M19" s="10">
        <v>42424</v>
      </c>
      <c r="N19" s="11" t="str">
        <f>"000070"</f>
        <v>000070</v>
      </c>
      <c r="O19" s="10">
        <v>42870</v>
      </c>
      <c r="P19" s="11" t="str">
        <f>"000016"</f>
        <v>000016</v>
      </c>
      <c r="Q19" s="10">
        <v>42871</v>
      </c>
      <c r="R19" s="11">
        <v>16</v>
      </c>
      <c r="S19" s="11" t="str">
        <f>"007815"</f>
        <v>007815</v>
      </c>
      <c r="T19" s="10">
        <v>43444</v>
      </c>
      <c r="U19" s="14">
        <v>9.3000000000000007</v>
      </c>
      <c r="V19" s="14">
        <v>1.1896</v>
      </c>
      <c r="W19" s="14">
        <v>8.1104000000000003</v>
      </c>
      <c r="X19" s="11">
        <v>301</v>
      </c>
      <c r="Y19" s="10">
        <v>43455</v>
      </c>
      <c r="Z19" s="11">
        <v>9008994499</v>
      </c>
      <c r="AA19" s="12" t="s">
        <v>121</v>
      </c>
      <c r="AB19" s="11" t="s">
        <v>69</v>
      </c>
      <c r="AC19" s="12" t="s">
        <v>70</v>
      </c>
      <c r="AD19" s="11" t="s">
        <v>43</v>
      </c>
      <c r="AE19" s="12" t="s">
        <v>44</v>
      </c>
      <c r="AF19" s="14">
        <f t="shared" si="0"/>
        <v>9.3000000000000013E-2</v>
      </c>
      <c r="AG19" s="11" t="s">
        <v>45</v>
      </c>
    </row>
    <row r="20" spans="1:33" x14ac:dyDescent="0.2">
      <c r="A20" s="8">
        <v>8893</v>
      </c>
      <c r="B20" s="9" t="s">
        <v>122</v>
      </c>
      <c r="C20" s="10">
        <v>43497</v>
      </c>
      <c r="D20" s="11">
        <v>164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123</v>
      </c>
      <c r="J20" s="12" t="s">
        <v>124</v>
      </c>
      <c r="K20" s="13" t="s">
        <v>125</v>
      </c>
      <c r="L20" s="11" t="str">
        <f>"000006"</f>
        <v>000006</v>
      </c>
      <c r="M20" s="10">
        <v>42954</v>
      </c>
      <c r="N20" s="11" t="str">
        <f>"000017"</f>
        <v>000017</v>
      </c>
      <c r="O20" s="10">
        <v>43181</v>
      </c>
      <c r="P20" s="11" t="str">
        <f>"000039"</f>
        <v>000039</v>
      </c>
      <c r="Q20" s="10">
        <v>43187</v>
      </c>
      <c r="R20" s="11"/>
      <c r="S20" s="11" t="str">
        <f>"008641"</f>
        <v>008641</v>
      </c>
      <c r="T20" s="10">
        <v>43472</v>
      </c>
      <c r="U20" s="14">
        <v>29.385000000000002</v>
      </c>
      <c r="V20" s="14">
        <v>1.5108999999999999</v>
      </c>
      <c r="W20" s="14">
        <v>27.874099999999999</v>
      </c>
      <c r="X20" s="11">
        <v>336</v>
      </c>
      <c r="Y20" s="10">
        <v>43497</v>
      </c>
      <c r="Z20" s="11">
        <v>9448085873</v>
      </c>
      <c r="AA20" s="12" t="s">
        <v>126</v>
      </c>
      <c r="AB20" s="11" t="s">
        <v>69</v>
      </c>
      <c r="AC20" s="12" t="s">
        <v>70</v>
      </c>
      <c r="AD20" s="11" t="s">
        <v>43</v>
      </c>
      <c r="AE20" s="12" t="s">
        <v>44</v>
      </c>
      <c r="AF20" s="14">
        <f t="shared" si="0"/>
        <v>0.29385</v>
      </c>
      <c r="AG20" s="11" t="s">
        <v>45</v>
      </c>
    </row>
    <row r="21" spans="1:33" x14ac:dyDescent="0.2">
      <c r="A21" s="8">
        <v>9109</v>
      </c>
      <c r="B21" s="9" t="s">
        <v>122</v>
      </c>
      <c r="C21" s="10">
        <v>43508</v>
      </c>
      <c r="D21" s="11">
        <v>164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127</v>
      </c>
      <c r="J21" s="12" t="s">
        <v>128</v>
      </c>
      <c r="K21" s="13" t="s">
        <v>78</v>
      </c>
      <c r="L21" s="11" t="str">
        <f>"000056"</f>
        <v>000056</v>
      </c>
      <c r="M21" s="10">
        <v>42453</v>
      </c>
      <c r="N21" s="11" t="str">
        <f>"000077"</f>
        <v>000077</v>
      </c>
      <c r="O21" s="10">
        <v>42916</v>
      </c>
      <c r="P21" s="11" t="str">
        <f>"000082"</f>
        <v>000082</v>
      </c>
      <c r="Q21" s="10">
        <v>42916</v>
      </c>
      <c r="R21" s="11"/>
      <c r="S21" s="11" t="str">
        <f>"009135"</f>
        <v>009135</v>
      </c>
      <c r="T21" s="10">
        <v>43503</v>
      </c>
      <c r="U21" s="14">
        <v>9.1999999999999993</v>
      </c>
      <c r="V21" s="14">
        <v>0.57899999999999996</v>
      </c>
      <c r="W21" s="14">
        <v>8.6210000000000004</v>
      </c>
      <c r="X21" s="11">
        <v>349</v>
      </c>
      <c r="Y21" s="10">
        <v>43508</v>
      </c>
      <c r="Z21" s="11">
        <v>9845643063</v>
      </c>
      <c r="AA21" s="12" t="s">
        <v>129</v>
      </c>
      <c r="AB21" s="11" t="s">
        <v>69</v>
      </c>
      <c r="AC21" s="12" t="s">
        <v>70</v>
      </c>
      <c r="AD21" s="11" t="s">
        <v>43</v>
      </c>
      <c r="AE21" s="12" t="s">
        <v>44</v>
      </c>
      <c r="AF21" s="14">
        <f t="shared" si="0"/>
        <v>9.1999999999999998E-2</v>
      </c>
      <c r="AG21" s="11" t="s">
        <v>45</v>
      </c>
    </row>
    <row r="22" spans="1:33" x14ac:dyDescent="0.2">
      <c r="A22" s="8">
        <v>9279</v>
      </c>
      <c r="B22" s="9" t="s">
        <v>122</v>
      </c>
      <c r="C22" s="10">
        <v>43521</v>
      </c>
      <c r="D22" s="11">
        <v>164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130</v>
      </c>
      <c r="J22" s="12" t="s">
        <v>131</v>
      </c>
      <c r="K22" s="13" t="s">
        <v>100</v>
      </c>
      <c r="L22" s="11" t="str">
        <f>"000132"</f>
        <v>000132</v>
      </c>
      <c r="M22" s="10">
        <v>43088</v>
      </c>
      <c r="N22" s="11" t="str">
        <f>"000091"</f>
        <v>000091</v>
      </c>
      <c r="O22" s="10">
        <v>43097</v>
      </c>
      <c r="P22" s="11" t="str">
        <f>"000081"</f>
        <v>000081</v>
      </c>
      <c r="Q22" s="10">
        <v>43108</v>
      </c>
      <c r="R22" s="11"/>
      <c r="S22" s="11" t="str">
        <f>"009313"</f>
        <v>009313</v>
      </c>
      <c r="T22" s="10">
        <v>43517</v>
      </c>
      <c r="U22" s="14">
        <v>0.86880999999999997</v>
      </c>
      <c r="V22" s="14">
        <v>4.4319999999999998E-2</v>
      </c>
      <c r="W22" s="14">
        <v>0.82448999999999995</v>
      </c>
      <c r="X22" s="11">
        <v>358</v>
      </c>
      <c r="Y22" s="10">
        <v>43521</v>
      </c>
      <c r="Z22" s="11">
        <v>9980119080</v>
      </c>
      <c r="AA22" s="12" t="s">
        <v>132</v>
      </c>
      <c r="AB22" s="11" t="s">
        <v>133</v>
      </c>
      <c r="AC22" s="12" t="s">
        <v>134</v>
      </c>
      <c r="AD22" s="11" t="s">
        <v>60</v>
      </c>
      <c r="AE22" s="12" t="s">
        <v>61</v>
      </c>
      <c r="AF22" s="14">
        <f t="shared" si="0"/>
        <v>8.6880999999999989E-3</v>
      </c>
      <c r="AG22" s="11" t="s">
        <v>45</v>
      </c>
    </row>
    <row r="23" spans="1:33" x14ac:dyDescent="0.2">
      <c r="A23" s="8">
        <v>9505</v>
      </c>
      <c r="B23" s="9" t="s">
        <v>135</v>
      </c>
      <c r="C23" s="10">
        <v>43531</v>
      </c>
      <c r="D23" s="11">
        <v>164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136</v>
      </c>
      <c r="J23" s="12" t="s">
        <v>137</v>
      </c>
      <c r="K23" s="13" t="s">
        <v>138</v>
      </c>
      <c r="L23" s="11" t="str">
        <f>"000060"</f>
        <v>000060</v>
      </c>
      <c r="M23" s="10">
        <v>43358</v>
      </c>
      <c r="N23" s="11" t="str">
        <f>"000042"</f>
        <v>000042</v>
      </c>
      <c r="O23" s="10">
        <v>43454</v>
      </c>
      <c r="P23" s="11" t="str">
        <f>"000121"</f>
        <v>000121</v>
      </c>
      <c r="Q23" s="10">
        <v>43461</v>
      </c>
      <c r="R23" s="11"/>
      <c r="S23" s="11" t="str">
        <f>"009617"</f>
        <v>009617</v>
      </c>
      <c r="T23" s="10">
        <v>43529</v>
      </c>
      <c r="U23" s="14">
        <v>50.637999999999998</v>
      </c>
      <c r="V23" s="14">
        <v>6.3460999999999999</v>
      </c>
      <c r="W23" s="14">
        <v>44.291899999999998</v>
      </c>
      <c r="X23" s="11">
        <v>369</v>
      </c>
      <c r="Y23" s="10">
        <v>43531</v>
      </c>
      <c r="Z23" s="11">
        <v>9448493618</v>
      </c>
      <c r="AA23" s="12" t="s">
        <v>139</v>
      </c>
      <c r="AB23" s="11" t="s">
        <v>140</v>
      </c>
      <c r="AC23" s="12" t="s">
        <v>141</v>
      </c>
      <c r="AD23" s="11" t="s">
        <v>43</v>
      </c>
      <c r="AE23" s="12" t="s">
        <v>44</v>
      </c>
      <c r="AF23" s="14">
        <f t="shared" si="0"/>
        <v>0.50637999999999994</v>
      </c>
      <c r="AG23" s="11" t="s">
        <v>118</v>
      </c>
    </row>
    <row r="24" spans="1:33" x14ac:dyDescent="0.2">
      <c r="A24" s="8">
        <v>9553</v>
      </c>
      <c r="B24" s="9" t="s">
        <v>135</v>
      </c>
      <c r="C24" s="10">
        <v>43531</v>
      </c>
      <c r="D24" s="11">
        <v>164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142</v>
      </c>
      <c r="J24" s="12" t="s">
        <v>143</v>
      </c>
      <c r="K24" s="13" t="s">
        <v>56</v>
      </c>
      <c r="L24" s="11" t="str">
        <f>"000027"</f>
        <v>000027</v>
      </c>
      <c r="M24" s="10">
        <v>42822</v>
      </c>
      <c r="N24" s="11" t="str">
        <f>"000075"</f>
        <v>000075</v>
      </c>
      <c r="O24" s="10">
        <v>42885</v>
      </c>
      <c r="P24" s="11" t="str">
        <f>"000080"</f>
        <v>000080</v>
      </c>
      <c r="Q24" s="10">
        <v>42916</v>
      </c>
      <c r="R24" s="11"/>
      <c r="S24" s="11" t="str">
        <f>"009568"</f>
        <v>009568</v>
      </c>
      <c r="T24" s="10">
        <v>43526</v>
      </c>
      <c r="U24" s="14">
        <v>18.03</v>
      </c>
      <c r="V24" s="14">
        <v>1.4682999999999999</v>
      </c>
      <c r="W24" s="14">
        <v>16.561699999999998</v>
      </c>
      <c r="X24" s="11">
        <v>370</v>
      </c>
      <c r="Y24" s="10">
        <v>43531</v>
      </c>
      <c r="Z24" s="11">
        <v>7795589171</v>
      </c>
      <c r="AA24" s="12" t="s">
        <v>144</v>
      </c>
      <c r="AB24" s="11" t="s">
        <v>69</v>
      </c>
      <c r="AC24" s="12" t="s">
        <v>70</v>
      </c>
      <c r="AD24" s="11" t="s">
        <v>43</v>
      </c>
      <c r="AE24" s="12" t="s">
        <v>44</v>
      </c>
      <c r="AF24" s="14">
        <f t="shared" si="0"/>
        <v>0.18030000000000002</v>
      </c>
      <c r="AG24" s="11" t="s">
        <v>45</v>
      </c>
    </row>
    <row r="25" spans="1:33" x14ac:dyDescent="0.2">
      <c r="A25" s="8">
        <v>9843</v>
      </c>
      <c r="B25" s="9" t="s">
        <v>135</v>
      </c>
      <c r="C25" s="10">
        <v>43549</v>
      </c>
      <c r="D25" s="11">
        <v>164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145</v>
      </c>
      <c r="J25" s="12" t="s">
        <v>146</v>
      </c>
      <c r="K25" s="13" t="s">
        <v>147</v>
      </c>
      <c r="L25" s="11" t="str">
        <f>"000072"</f>
        <v>000072</v>
      </c>
      <c r="M25" s="10">
        <v>43409</v>
      </c>
      <c r="N25" s="11" t="str">
        <f>"000047"</f>
        <v>000047</v>
      </c>
      <c r="O25" s="10">
        <v>43489</v>
      </c>
      <c r="P25" s="11" t="str">
        <f>"000140"</f>
        <v>000140</v>
      </c>
      <c r="Q25" s="10">
        <v>43501</v>
      </c>
      <c r="R25" s="11"/>
      <c r="S25" s="11" t="str">
        <f>"009859"</f>
        <v>009859</v>
      </c>
      <c r="T25" s="10">
        <v>43544</v>
      </c>
      <c r="U25" s="14">
        <v>16.465</v>
      </c>
      <c r="V25" s="14">
        <v>2.0937999999999999</v>
      </c>
      <c r="W25" s="14">
        <v>14.3712</v>
      </c>
      <c r="X25" s="11">
        <v>383</v>
      </c>
      <c r="Y25" s="10">
        <v>43549</v>
      </c>
      <c r="Z25" s="11">
        <v>9845085903</v>
      </c>
      <c r="AA25" s="12" t="s">
        <v>148</v>
      </c>
      <c r="AB25" s="11" t="s">
        <v>87</v>
      </c>
      <c r="AC25" s="12" t="s">
        <v>88</v>
      </c>
      <c r="AD25" s="11" t="s">
        <v>43</v>
      </c>
      <c r="AE25" s="12" t="s">
        <v>44</v>
      </c>
      <c r="AF25" s="14">
        <f t="shared" si="0"/>
        <v>0.16464999999999999</v>
      </c>
      <c r="AG25" s="11" t="s">
        <v>118</v>
      </c>
    </row>
    <row r="26" spans="1:33" x14ac:dyDescent="0.2">
      <c r="A26" s="8">
        <v>10093</v>
      </c>
      <c r="B26" s="9" t="s">
        <v>135</v>
      </c>
      <c r="C26" s="10">
        <v>43552</v>
      </c>
      <c r="D26" s="11">
        <v>164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149</v>
      </c>
      <c r="J26" s="12" t="s">
        <v>150</v>
      </c>
      <c r="K26" s="13" t="s">
        <v>125</v>
      </c>
      <c r="L26" s="11" t="str">
        <f>"000021"</f>
        <v>000021</v>
      </c>
      <c r="M26" s="10">
        <v>42866</v>
      </c>
      <c r="N26" s="11" t="str">
        <f>"000014"</f>
        <v>000014</v>
      </c>
      <c r="O26" s="10">
        <v>43159</v>
      </c>
      <c r="P26" s="11" t="str">
        <f>"000034"</f>
        <v>000034</v>
      </c>
      <c r="Q26" s="10">
        <v>43171</v>
      </c>
      <c r="R26" s="11"/>
      <c r="S26" s="11" t="str">
        <f>"010128"</f>
        <v>010128</v>
      </c>
      <c r="T26" s="10">
        <v>43552</v>
      </c>
      <c r="U26" s="14">
        <v>13.195</v>
      </c>
      <c r="V26" s="14">
        <v>1.5718000000000001</v>
      </c>
      <c r="W26" s="14">
        <v>11.623200000000001</v>
      </c>
      <c r="X26" s="11">
        <v>391</v>
      </c>
      <c r="Y26" s="10">
        <v>43552</v>
      </c>
      <c r="Z26" s="11">
        <v>9448026974</v>
      </c>
      <c r="AA26" s="12" t="s">
        <v>151</v>
      </c>
      <c r="AB26" s="11" t="s">
        <v>69</v>
      </c>
      <c r="AC26" s="12" t="s">
        <v>70</v>
      </c>
      <c r="AD26" s="11" t="s">
        <v>43</v>
      </c>
      <c r="AE26" s="12" t="s">
        <v>44</v>
      </c>
      <c r="AF26" s="14">
        <f t="shared" si="0"/>
        <v>0.13195000000000001</v>
      </c>
      <c r="AG2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2019-06-14T08:39:02Z</dcterms:modified>
</cp:coreProperties>
</file>