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anjunath.hl\Downloads\2019-20 Budget Input\Budget Performance Report 2018-19\Data for Openwork Page 2018-19 BPR\Contractor Bill Paid (BR)\"/>
    </mc:Choice>
  </mc:AlternateContent>
  <bookViews>
    <workbookView xWindow="0" yWindow="0" windowWidth="15360" windowHeight="7755"/>
  </bookViews>
  <sheets>
    <sheet name="1st Apr 2018 31st Mar 2019" sheetId="1" r:id="rId1"/>
  </sheets>
  <definedNames>
    <definedName name="_xlnm._FilterDatabase" localSheetId="0" hidden="1">'1st Apr 2018 31st Mar 2019'!$A$1:$AG$1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F32" i="1" l="1"/>
  <c r="S32" i="1"/>
  <c r="P32" i="1"/>
  <c r="N32" i="1"/>
  <c r="L32" i="1"/>
  <c r="AF31" i="1"/>
  <c r="S31" i="1"/>
  <c r="P31" i="1"/>
  <c r="N31" i="1"/>
  <c r="L31" i="1"/>
  <c r="AF30" i="1"/>
  <c r="S30" i="1"/>
  <c r="P30" i="1"/>
  <c r="N30" i="1"/>
  <c r="L30" i="1"/>
  <c r="AF29" i="1"/>
  <c r="S29" i="1"/>
  <c r="P29" i="1"/>
  <c r="N29" i="1"/>
  <c r="L29" i="1"/>
  <c r="AF28" i="1"/>
  <c r="S28" i="1"/>
  <c r="P28" i="1"/>
  <c r="N28" i="1"/>
  <c r="L28" i="1"/>
  <c r="AF27" i="1"/>
  <c r="S27" i="1"/>
  <c r="P27" i="1"/>
  <c r="N27" i="1"/>
  <c r="L27" i="1"/>
  <c r="AF26" i="1"/>
  <c r="S26" i="1"/>
  <c r="P26" i="1"/>
  <c r="N26" i="1"/>
  <c r="L26" i="1"/>
  <c r="AF25" i="1"/>
  <c r="S25" i="1"/>
  <c r="P25" i="1"/>
  <c r="N25" i="1"/>
  <c r="L25" i="1"/>
  <c r="AF24" i="1"/>
  <c r="S24" i="1"/>
  <c r="P24" i="1"/>
  <c r="N24" i="1"/>
  <c r="L24" i="1"/>
  <c r="AF23" i="1"/>
  <c r="S23" i="1"/>
  <c r="P23" i="1"/>
  <c r="N23" i="1"/>
  <c r="L23" i="1"/>
  <c r="AF22" i="1"/>
  <c r="S22" i="1"/>
  <c r="P22" i="1"/>
  <c r="N22" i="1"/>
  <c r="L22" i="1"/>
  <c r="AF21" i="1"/>
  <c r="S21" i="1"/>
  <c r="P21" i="1"/>
  <c r="N21" i="1"/>
  <c r="L21" i="1"/>
  <c r="AF20" i="1"/>
  <c r="S20" i="1"/>
  <c r="P20" i="1"/>
  <c r="N20" i="1"/>
  <c r="L20" i="1"/>
  <c r="AF19" i="1"/>
  <c r="S19" i="1"/>
  <c r="P19" i="1"/>
  <c r="N19" i="1"/>
  <c r="L19" i="1"/>
  <c r="AF18" i="1"/>
  <c r="S18" i="1"/>
  <c r="P18" i="1"/>
  <c r="N18" i="1"/>
  <c r="L18" i="1"/>
  <c r="S17" i="1"/>
  <c r="P17" i="1"/>
  <c r="N17" i="1"/>
  <c r="L17" i="1"/>
  <c r="S16" i="1"/>
  <c r="P16" i="1"/>
  <c r="N16" i="1"/>
  <c r="L16" i="1"/>
  <c r="S15" i="1"/>
  <c r="P15" i="1"/>
  <c r="N15" i="1"/>
  <c r="L15" i="1"/>
  <c r="S14" i="1"/>
  <c r="P14" i="1"/>
  <c r="N14" i="1"/>
  <c r="L14" i="1"/>
  <c r="S13" i="1"/>
  <c r="P13" i="1"/>
  <c r="N13" i="1"/>
  <c r="L13" i="1"/>
  <c r="S12" i="1"/>
  <c r="P12" i="1"/>
  <c r="N12" i="1"/>
  <c r="L12" i="1"/>
  <c r="S11" i="1"/>
  <c r="P11" i="1"/>
  <c r="N11" i="1"/>
  <c r="L11" i="1"/>
  <c r="S10" i="1"/>
  <c r="P10" i="1"/>
  <c r="N10" i="1"/>
  <c r="L10" i="1"/>
  <c r="S9" i="1"/>
  <c r="P9" i="1"/>
  <c r="N9" i="1"/>
  <c r="L9" i="1"/>
  <c r="S8" i="1"/>
  <c r="P8" i="1"/>
  <c r="N8" i="1"/>
  <c r="L8" i="1"/>
  <c r="S7" i="1"/>
  <c r="P7" i="1"/>
  <c r="N7" i="1"/>
  <c r="L7" i="1"/>
  <c r="S6" i="1"/>
  <c r="P6" i="1"/>
  <c r="N6" i="1"/>
  <c r="L6" i="1"/>
  <c r="S5" i="1"/>
  <c r="P5" i="1"/>
  <c r="N5" i="1"/>
  <c r="L5" i="1"/>
  <c r="S4" i="1"/>
  <c r="P4" i="1"/>
  <c r="N4" i="1"/>
  <c r="L4" i="1"/>
  <c r="S3" i="1"/>
  <c r="P3" i="1"/>
  <c r="N3" i="1"/>
  <c r="L3" i="1"/>
  <c r="S2" i="1"/>
  <c r="P2" i="1"/>
  <c r="N2" i="1"/>
  <c r="L2" i="1"/>
</calcChain>
</file>

<file path=xl/sharedStrings.xml><?xml version="1.0" encoding="utf-8"?>
<sst xmlns="http://schemas.openxmlformats.org/spreadsheetml/2006/main" count="469" uniqueCount="182">
  <si>
    <t>SL No</t>
  </si>
  <si>
    <t>Month</t>
  </si>
  <si>
    <t>Date</t>
  </si>
  <si>
    <t>Ward_No</t>
  </si>
  <si>
    <t>Ward_Name</t>
  </si>
  <si>
    <t>Sub_Division</t>
  </si>
  <si>
    <t>Division</t>
  </si>
  <si>
    <t>Zone</t>
  </si>
  <si>
    <t>Job_Code</t>
  </si>
  <si>
    <t>Job_Description</t>
  </si>
  <si>
    <t>Category</t>
  </si>
  <si>
    <t>Work_ Order</t>
  </si>
  <si>
    <t>Work_Order_Date</t>
  </si>
  <si>
    <t>Sub Bill Register_No</t>
  </si>
  <si>
    <t>Sub Bill Register_Date</t>
  </si>
  <si>
    <t>Bill Register No</t>
  </si>
  <si>
    <t>Bill Register Date</t>
  </si>
  <si>
    <t>Job Code Year</t>
  </si>
  <si>
    <t>CBR_No</t>
  </si>
  <si>
    <t>CBR_Date</t>
  </si>
  <si>
    <t>Gross_ Amount In Lakhs</t>
  </si>
  <si>
    <t>Deduction In Lakhs</t>
  </si>
  <si>
    <t>Nett_ Amount In Lakhs</t>
  </si>
  <si>
    <t>RTGS_No</t>
  </si>
  <si>
    <t>RTGS_Date</t>
  </si>
  <si>
    <t>Contractor Number</t>
  </si>
  <si>
    <t>Contractor_Name</t>
  </si>
  <si>
    <t>P_Code</t>
  </si>
  <si>
    <t>Budget_Head</t>
  </si>
  <si>
    <t>Budget_ Head_ID</t>
  </si>
  <si>
    <t>Engineer Details</t>
  </si>
  <si>
    <t>Gross_ Amount In Cr</t>
  </si>
  <si>
    <t xml:space="preserve">Current/Pending /Spill over </t>
  </si>
  <si>
    <t>April</t>
  </si>
  <si>
    <t>Yediyuru</t>
  </si>
  <si>
    <t>Banashankari</t>
  </si>
  <si>
    <t>Padmanabha Nagara</t>
  </si>
  <si>
    <t>South</t>
  </si>
  <si>
    <t>167-16-000057</t>
  </si>
  <si>
    <t>Improvements to drain and Construction of modern footpath at 27th cross Northern side from Kariyappa road to 2nd main 4th main 3rd block Jayanagar in ward 167</t>
  </si>
  <si>
    <t>Footpaths &amp; Walkability</t>
  </si>
  <si>
    <t>M/s Impana Construction</t>
  </si>
  <si>
    <t>P0190</t>
  </si>
  <si>
    <t>Works sanctioned by Hon Mayor</t>
  </si>
  <si>
    <t>ddo422</t>
  </si>
  <si>
    <t xml:space="preserve"> Executive Engineer Project - South Zone</t>
  </si>
  <si>
    <t>Pending</t>
  </si>
  <si>
    <t>167-16-000036</t>
  </si>
  <si>
    <t>Improvements to drains roads and Culverts at 9th cross 9th main Shastrinagar and surrounding area in Ward No.167</t>
  </si>
  <si>
    <t>M/s. Impana Constructions, Prop. Smt. Nandini. H.S.</t>
  </si>
  <si>
    <t>P1771</t>
  </si>
  <si>
    <t>Zone Works - POW Works</t>
  </si>
  <si>
    <t>ddo490</t>
  </si>
  <si>
    <t xml:space="preserve"> Assistant Executive Engineer Banashankari South Zone</t>
  </si>
  <si>
    <t>167-16-000062</t>
  </si>
  <si>
    <t>Improvements to drains and roads at Sir M Vishweshwaraiah road from 14th cross Shastrinagar to 3rd main Byrappa block in ward no 167</t>
  </si>
  <si>
    <t>S. Manjunath</t>
  </si>
  <si>
    <t>P2178</t>
  </si>
  <si>
    <t>Works sanctioned by Dy. Mayor</t>
  </si>
  <si>
    <t>167-16-000021</t>
  </si>
  <si>
    <t>Improvements to drain in surounding sushrata dialysis at sakamma garden in Yediyur ward no 167</t>
  </si>
  <si>
    <t>16-</t>
  </si>
  <si>
    <t>B.S.Kiran Kumar</t>
  </si>
  <si>
    <t>P3075</t>
  </si>
  <si>
    <t>Special comprehensive development works in Bangalore city (Bangalore city in charge Minister Discretionary Grants)</t>
  </si>
  <si>
    <t>May</t>
  </si>
  <si>
    <t>167-17-000007</t>
  </si>
  <si>
    <t>Providing Generators Set and AMF panel to Yediyur Market Complex Yediyur Samudhaya Bhavana and other additional Electrical works in Yediyur Market Complex in ward no 167</t>
  </si>
  <si>
    <t>Other Ward Works</t>
  </si>
  <si>
    <t>Muniraju.H.C</t>
  </si>
  <si>
    <t>P3153</t>
  </si>
  <si>
    <t>Providing Generator Set in Yediyur Shopping Complex</t>
  </si>
  <si>
    <t>ddo258</t>
  </si>
  <si>
    <t xml:space="preserve"> Executive Engineer Electrical South Zone</t>
  </si>
  <si>
    <t>167-16-000053</t>
  </si>
  <si>
    <t>COMPREHENSIVE DEVELOPMENT OF BAD ROADS BY PROVIDING ASPHALTING AND IMPROVEMENTS OF ROADS SIDE DRAINS IN WARD NO 165, 166, 167 AND 180 (Comprising of 5 Works). PACKAGE-2. (Providing asphalting to road from 14th cross to 13th cross Shastrinagar and surrounding areas and Comprehensive development of roads and Drains in Ward No 167)</t>
  </si>
  <si>
    <t>Roads &amp; Drivablility</t>
  </si>
  <si>
    <t>VINOD KUMAR B K</t>
  </si>
  <si>
    <t>P3106</t>
  </si>
  <si>
    <t>Nagarothana Works</t>
  </si>
  <si>
    <t>167-17-000011</t>
  </si>
  <si>
    <t>Providing CCTV Cameras and other connected accessories etc to Dhanvantari park And Sanjeevini Vana park in Yediyur ward no 167</t>
  </si>
  <si>
    <t>Crime &amp; Safety</t>
  </si>
  <si>
    <t>M/S Munichamaiah.C</t>
  </si>
  <si>
    <t>July</t>
  </si>
  <si>
    <t>167-17-000006</t>
  </si>
  <si>
    <t>Desilting of Immersion tank and Deweeding of Yediyur tank (For Ganesha and Durga Festival) in ward no 167 Yediyur</t>
  </si>
  <si>
    <t>Lakes</t>
  </si>
  <si>
    <t>PRAKASH</t>
  </si>
  <si>
    <t>P3155</t>
  </si>
  <si>
    <t>Immerssion of Ganesha Idols</t>
  </si>
  <si>
    <t>167-16-000002</t>
  </si>
  <si>
    <t>Operation and Maintenance of Street Lighting System in Ward No.167 Package S-6 of South Zone</t>
  </si>
  <si>
    <t>Muniraju H C (Sri Chamundeshwari Electricals)</t>
  </si>
  <si>
    <t>P0300</t>
  </si>
  <si>
    <t>M and R to Street Lights - Replacement of Burnt Bulbs etc. (Package)</t>
  </si>
  <si>
    <t>167-17-000010</t>
  </si>
  <si>
    <t>Providing Decorative Street lighting system to 27th cross in Yediyur ward no 167</t>
  </si>
  <si>
    <t>M/S Sri Chamundeshwari Electricals</t>
  </si>
  <si>
    <t>August</t>
  </si>
  <si>
    <t>167-17-000002</t>
  </si>
  <si>
    <t>Chain link fencing to Nursery park of Lakshman Rao Boule ward park connecting between Sanjivinivana and Danavantrivana park in ward no 167</t>
  </si>
  <si>
    <t>Trees, Parks &amp; Playgrounds</t>
  </si>
  <si>
    <t>S MANJUNATH</t>
  </si>
  <si>
    <t>167-17-000003</t>
  </si>
  <si>
    <t>Development works for Lakshman Rao Bouyleward park connecting between Sanjivinivana and Danavantrivana park in ward no 167</t>
  </si>
  <si>
    <t>167-17-000005</t>
  </si>
  <si>
    <t>Providing borewell and other development works at Patalamma park in Yediyur ward no 167</t>
  </si>
  <si>
    <t>167-14-000044</t>
  </si>
  <si>
    <t>Remodelling of BBMP building at Sakamma Garden for Dialysis unit at Yediyur in ward no 167</t>
  </si>
  <si>
    <t>16-17</t>
  </si>
  <si>
    <t>M/s PMJ Construction Pvt Ltd</t>
  </si>
  <si>
    <t>P2663</t>
  </si>
  <si>
    <t>Establishment of Diyalisis Units in 6 Referal Hospitals</t>
  </si>
  <si>
    <t>ddo341</t>
  </si>
  <si>
    <t xml:space="preserve"> Assistant Executive Engineer M P E D Central Zone</t>
  </si>
  <si>
    <t>167-17-000027</t>
  </si>
  <si>
    <t>Providing Water proof treatment Improvements to compound wall and other improvemental works at Raj Kumar Ranga Mandira 8th main Shstrinagar in Ward No.167</t>
  </si>
  <si>
    <t>Water &amp; Sanitary</t>
  </si>
  <si>
    <t>R SATISH</t>
  </si>
  <si>
    <t>September</t>
  </si>
  <si>
    <t>167-17-000004</t>
  </si>
  <si>
    <t>Ornamental grill to Lakshman rao bouleward park connecting between Sanjivinivanaand Danavantarivana park in ward no 167</t>
  </si>
  <si>
    <t>167-17-000040</t>
  </si>
  <si>
    <t xml:space="preserve">Providing and fixing of LED Street lights in Ward No 167 in Padmanabnagar Division </t>
  </si>
  <si>
    <t>M/s. Gunashekar (Shri Devi Electricals)</t>
  </si>
  <si>
    <t>P3110</t>
  </si>
  <si>
    <t>14th Finance Commission Grant Works</t>
  </si>
  <si>
    <t>Spill Over</t>
  </si>
  <si>
    <t>October</t>
  </si>
  <si>
    <t>167-18-000027</t>
  </si>
  <si>
    <t>Construction of RCC retaining wall and improvements to Footpath at Yadiyur Lake bund S. Kariyappa road in ward no 167 Yadiyur</t>
  </si>
  <si>
    <t>Storm Water Drains</t>
  </si>
  <si>
    <t>S Manjunath</t>
  </si>
  <si>
    <t>ddo313</t>
  </si>
  <si>
    <t xml:space="preserve"> Chief Engineer SWD Central Zone</t>
  </si>
  <si>
    <t>167-16-000034</t>
  </si>
  <si>
    <t>Providing Pot Holes filling in Ward No.167</t>
  </si>
  <si>
    <t>S. Satish</t>
  </si>
  <si>
    <t>167-17-000014</t>
  </si>
  <si>
    <t>Providing Soulpture works in Yadiyur Lake park in ward no 167</t>
  </si>
  <si>
    <t>M/s. Shree Devi Enterprises, Prop. Sri. M Gunashekar</t>
  </si>
  <si>
    <t>P2582</t>
  </si>
  <si>
    <t>Development of Yediyur lake and installation of 32 feet vivekananda statue</t>
  </si>
  <si>
    <t>167-17-000015</t>
  </si>
  <si>
    <t>Providing and fixing 16th feet brass metal statue of Swamy Vivekananda in Yadiyur lake park in ward no 167</t>
  </si>
  <si>
    <t>M/s. AAKAARA, Prop. Sri. B.C. Shivakumar</t>
  </si>
  <si>
    <t>167-18-000033</t>
  </si>
  <si>
    <t>Remodelling of storm water drain joning to Yediyur lake in ward no 167</t>
  </si>
  <si>
    <t>SATISH R</t>
  </si>
  <si>
    <t>Current</t>
  </si>
  <si>
    <t>167-17-000050</t>
  </si>
  <si>
    <t>Construction of Civil works and Display boards for Providing and supplying 14 species of birds and their aviaris, Habitat maintenance under the plan of Banadi Marali Ba Gudige at Yediyur lake park in ward no 167</t>
  </si>
  <si>
    <t>M/s. Impana Constructions, Prop. Smt. H.S. Nandini</t>
  </si>
  <si>
    <t>November</t>
  </si>
  <si>
    <t>167-17-000041</t>
  </si>
  <si>
    <t>Water supply annual maintenence and repairs in ward no 167</t>
  </si>
  <si>
    <t>S KRISHNA</t>
  </si>
  <si>
    <t>P1802</t>
  </si>
  <si>
    <t>Water Supply New Areas</t>
  </si>
  <si>
    <t>December</t>
  </si>
  <si>
    <t>167-17-000042</t>
  </si>
  <si>
    <t>Arranging temprory illumination to ganesh immersion function in yediyur 167</t>
  </si>
  <si>
    <t>M/S Munichamaiah.C (Meghana Electricals)</t>
  </si>
  <si>
    <t>P0298</t>
  </si>
  <si>
    <t>M and R to Electrical Installations in Parks and Gardens, Playgrounds, Burial Grounds</t>
  </si>
  <si>
    <t>167-17-000009</t>
  </si>
  <si>
    <t>Providing RGB Lights And other connected accessories to Ranadheera Kanteerava Park Navatare Badminton Park in Yediyur ward no 167</t>
  </si>
  <si>
    <t>Muniraju.H.C. (Shri Chamundeswari Electricals)</t>
  </si>
  <si>
    <t>January</t>
  </si>
  <si>
    <t>March</t>
  </si>
  <si>
    <t>167-17-000008</t>
  </si>
  <si>
    <t>Providing Transformer and LBS HT and LT Cables Penel Boards and other Electrical works in Yediyur Lake in ward no 167</t>
  </si>
  <si>
    <t>M/s. Muniraju.H.C (Sri Chamundeshwari Electricals)</t>
  </si>
  <si>
    <t>167-17-000012</t>
  </si>
  <si>
    <t>Providing Pathway Lighting system to Patalamma Park in Yediyur ward no 167</t>
  </si>
  <si>
    <t>M/s. Gunashekar</t>
  </si>
  <si>
    <t>167-18-000053</t>
  </si>
  <si>
    <t>Repairs and Improvemental works to Library building at 5th main Elephant rock road 3rd block Jayangara in ward no 167</t>
  </si>
  <si>
    <t>Public Amenities</t>
  </si>
  <si>
    <t>P0583</t>
  </si>
  <si>
    <t>MLA Grant Works</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</si>
</sst>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theme="1"/>
      <name val="Calibri"/>
      <family val="2"/>
      <scheme val="minor"/>
    </font>
    <font>
      <b/>
      <sz val="10"/>
      <color theme="1"/>
      <name val="Calibri"/>
      <family val="2"/>
      <scheme val="minor"/>
    </font>
    <font>
      <sz val="10"/>
      <color theme="1"/>
      <name val="Calibri"/>
      <family val="2"/>
      <scheme val="minor"/>
    </font>
  </fonts>
  <fills count="3">
    <fill>
      <patternFill patternType="none"/>
    </fill>
    <fill>
      <patternFill patternType="gray125"/>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5">
    <xf numFmtId="0" fontId="0" fillId="0" borderId="0" xfId="0"/>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2" fillId="0" borderId="0" xfId="0" applyFont="1" applyAlignment="1">
      <alignment horizontal="center" vertical="center"/>
    </xf>
    <xf numFmtId="0" fontId="2" fillId="0" borderId="0" xfId="0" applyFont="1"/>
    <xf numFmtId="0" fontId="2" fillId="0" borderId="0" xfId="0" applyFont="1" applyAlignment="1">
      <alignment horizontal="center"/>
    </xf>
    <xf numFmtId="0" fontId="2" fillId="0" borderId="0" xfId="0" applyFont="1" applyAlignment="1">
      <alignment horizontal="left"/>
    </xf>
    <xf numFmtId="0" fontId="2" fillId="0" borderId="0" xfId="0" applyFont="1" applyAlignment="1">
      <alignment horizontal="right"/>
    </xf>
    <xf numFmtId="1" fontId="2" fillId="0" borderId="1" xfId="0" applyNumberFormat="1" applyFont="1" applyBorder="1" applyAlignment="1">
      <alignment horizontal="left" vertical="center"/>
    </xf>
    <xf numFmtId="15" fontId="2" fillId="0" borderId="1" xfId="0" applyNumberFormat="1" applyFont="1" applyBorder="1" applyAlignment="1">
      <alignment horizontal="left" vertical="center"/>
    </xf>
    <xf numFmtId="15" fontId="2" fillId="0" borderId="1" xfId="0" applyNumberFormat="1"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0" borderId="1" xfId="0" applyFont="1" applyFill="1" applyBorder="1" applyAlignment="1">
      <alignment horizontal="left" vertical="center"/>
    </xf>
    <xf numFmtId="2" fontId="2" fillId="0" borderId="1" xfId="0" applyNumberFormat="1" applyFont="1" applyBorder="1" applyAlignment="1">
      <alignment horizontal="righ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32"/>
  <sheetViews>
    <sheetView tabSelected="1" workbookViewId="0">
      <pane ySplit="1" topLeftCell="A2" activePane="bottomLeft" state="frozen"/>
      <selection activeCell="H1" sqref="H1"/>
      <selection pane="bottomLeft" activeCell="A2" sqref="A2:XFD32"/>
    </sheetView>
  </sheetViews>
  <sheetFormatPr defaultRowHeight="12.75" x14ac:dyDescent="0.2"/>
  <cols>
    <col min="1" max="1" width="6" style="5" bestFit="1" customWidth="1"/>
    <col min="2" max="2" width="9.140625" style="5" bestFit="1" customWidth="1"/>
    <col min="3" max="3" width="9.5703125" style="5" customWidth="1"/>
    <col min="4" max="4" width="8.42578125" style="5" customWidth="1"/>
    <col min="5" max="5" width="16.28515625" style="6" bestFit="1" customWidth="1"/>
    <col min="6" max="6" width="10.7109375" style="6" bestFit="1" customWidth="1"/>
    <col min="7" max="8" width="9.140625" style="6" bestFit="1" customWidth="1"/>
    <col min="9" max="9" width="14.85546875" style="5" customWidth="1"/>
    <col min="10" max="10" width="14.140625" style="4" customWidth="1"/>
    <col min="11" max="11" width="22.85546875" style="5" bestFit="1" customWidth="1"/>
    <col min="12" max="12" width="7.140625" style="5" customWidth="1"/>
    <col min="13" max="13" width="9.7109375" style="5" customWidth="1"/>
    <col min="14" max="14" width="11.85546875" style="5" customWidth="1"/>
    <col min="15" max="15" width="9.42578125" style="5" customWidth="1"/>
    <col min="16" max="16" width="10.28515625" style="5" customWidth="1"/>
    <col min="17" max="17" width="10" style="5" customWidth="1"/>
    <col min="18" max="18" width="7.85546875" style="5" customWidth="1"/>
    <col min="19" max="20" width="9.5703125" style="5" bestFit="1" customWidth="1"/>
    <col min="21" max="21" width="12.7109375" style="7" customWidth="1"/>
    <col min="22" max="22" width="9" style="7" bestFit="1" customWidth="1"/>
    <col min="23" max="23" width="12.140625" style="7" customWidth="1"/>
    <col min="24" max="24" width="6.140625" style="5" customWidth="1"/>
    <col min="25" max="25" width="9.5703125" style="5" bestFit="1" customWidth="1"/>
    <col min="26" max="26" width="11.7109375" style="5" customWidth="1"/>
    <col min="27" max="27" width="18.42578125" style="4" customWidth="1"/>
    <col min="28" max="28" width="7.85546875" style="5" customWidth="1"/>
    <col min="29" max="29" width="16.85546875" style="4" customWidth="1"/>
    <col min="30" max="30" width="9.140625" style="5" customWidth="1"/>
    <col min="31" max="31" width="14.140625" style="4" customWidth="1"/>
    <col min="32" max="32" width="11.42578125" style="5" bestFit="1" customWidth="1"/>
    <col min="33" max="33" width="14" style="5" customWidth="1"/>
    <col min="34" max="16384" width="9.140625" style="4"/>
  </cols>
  <sheetData>
    <row r="1" spans="1:33" s="3" customFormat="1" ht="24" customHeight="1" x14ac:dyDescent="0.25">
      <c r="A1" s="1" t="s">
        <v>0</v>
      </c>
      <c r="B1" s="1" t="s">
        <v>1</v>
      </c>
      <c r="C1" s="1" t="s">
        <v>2</v>
      </c>
      <c r="D1" s="1" t="s">
        <v>3</v>
      </c>
      <c r="E1" s="1" t="s">
        <v>4</v>
      </c>
      <c r="F1" s="1" t="s">
        <v>5</v>
      </c>
      <c r="G1" s="1" t="s">
        <v>6</v>
      </c>
      <c r="H1" s="1" t="s">
        <v>7</v>
      </c>
      <c r="I1" s="1" t="s">
        <v>8</v>
      </c>
      <c r="J1" s="1" t="s">
        <v>9</v>
      </c>
      <c r="K1" s="1" t="s">
        <v>10</v>
      </c>
      <c r="L1" s="2" t="s">
        <v>11</v>
      </c>
      <c r="M1" s="2" t="s">
        <v>12</v>
      </c>
      <c r="N1" s="2" t="s">
        <v>13</v>
      </c>
      <c r="O1" s="2" t="s">
        <v>14</v>
      </c>
      <c r="P1" s="2" t="s">
        <v>15</v>
      </c>
      <c r="Q1" s="2" t="s">
        <v>16</v>
      </c>
      <c r="R1" s="2" t="s">
        <v>17</v>
      </c>
      <c r="S1" s="1" t="s">
        <v>18</v>
      </c>
      <c r="T1" s="1" t="s">
        <v>19</v>
      </c>
      <c r="U1" s="2" t="s">
        <v>20</v>
      </c>
      <c r="V1" s="2" t="s">
        <v>21</v>
      </c>
      <c r="W1" s="2" t="s">
        <v>22</v>
      </c>
      <c r="X1" s="2" t="s">
        <v>23</v>
      </c>
      <c r="Y1" s="1" t="s">
        <v>24</v>
      </c>
      <c r="Z1" s="2" t="s">
        <v>25</v>
      </c>
      <c r="AA1" s="1" t="s">
        <v>26</v>
      </c>
      <c r="AB1" s="1" t="s">
        <v>27</v>
      </c>
      <c r="AC1" s="1" t="s">
        <v>28</v>
      </c>
      <c r="AD1" s="2" t="s">
        <v>29</v>
      </c>
      <c r="AE1" s="1" t="s">
        <v>30</v>
      </c>
      <c r="AF1" s="2" t="s">
        <v>31</v>
      </c>
      <c r="AG1" s="2" t="s">
        <v>32</v>
      </c>
    </row>
    <row r="2" spans="1:33" x14ac:dyDescent="0.2">
      <c r="A2" s="8">
        <v>444</v>
      </c>
      <c r="B2" s="9" t="s">
        <v>33</v>
      </c>
      <c r="C2" s="10">
        <v>43200</v>
      </c>
      <c r="D2" s="11">
        <v>167</v>
      </c>
      <c r="E2" s="12" t="s">
        <v>34</v>
      </c>
      <c r="F2" s="12" t="s">
        <v>35</v>
      </c>
      <c r="G2" s="12" t="s">
        <v>36</v>
      </c>
      <c r="H2" s="12" t="s">
        <v>37</v>
      </c>
      <c r="I2" s="11" t="s">
        <v>38</v>
      </c>
      <c r="J2" s="12" t="s">
        <v>39</v>
      </c>
      <c r="K2" s="13" t="s">
        <v>40</v>
      </c>
      <c r="L2" s="11" t="str">
        <f>"000004"</f>
        <v>000004</v>
      </c>
      <c r="M2" s="10">
        <v>42464</v>
      </c>
      <c r="N2" s="11" t="str">
        <f>"079"</f>
        <v>079</v>
      </c>
      <c r="O2" s="10">
        <v>16</v>
      </c>
      <c r="P2" s="11" t="str">
        <f>"305"</f>
        <v>305</v>
      </c>
      <c r="Q2" s="10">
        <v>16</v>
      </c>
      <c r="R2" s="11">
        <v>16</v>
      </c>
      <c r="S2" s="11" t="str">
        <f>"010987"</f>
        <v>010987</v>
      </c>
      <c r="T2" s="10">
        <v>43187</v>
      </c>
      <c r="U2" s="14">
        <v>41.545850000000002</v>
      </c>
      <c r="V2" s="14">
        <v>5.1616099999999996</v>
      </c>
      <c r="W2" s="14">
        <v>36.384239999999998</v>
      </c>
      <c r="X2" s="11">
        <v>9</v>
      </c>
      <c r="Y2" s="10">
        <v>43200</v>
      </c>
      <c r="Z2" s="11">
        <v>9845187748</v>
      </c>
      <c r="AA2" s="12" t="s">
        <v>41</v>
      </c>
      <c r="AB2" s="11" t="s">
        <v>42</v>
      </c>
      <c r="AC2" s="12" t="s">
        <v>43</v>
      </c>
      <c r="AD2" s="11" t="s">
        <v>44</v>
      </c>
      <c r="AE2" s="12" t="s">
        <v>45</v>
      </c>
      <c r="AF2" s="14">
        <v>0.41545850000000001</v>
      </c>
      <c r="AG2" s="11" t="s">
        <v>46</v>
      </c>
    </row>
    <row r="3" spans="1:33" x14ac:dyDescent="0.2">
      <c r="A3" s="8">
        <v>445</v>
      </c>
      <c r="B3" s="9" t="s">
        <v>33</v>
      </c>
      <c r="C3" s="10">
        <v>43200</v>
      </c>
      <c r="D3" s="11">
        <v>167</v>
      </c>
      <c r="E3" s="12" t="s">
        <v>34</v>
      </c>
      <c r="F3" s="12" t="s">
        <v>35</v>
      </c>
      <c r="G3" s="12" t="s">
        <v>36</v>
      </c>
      <c r="H3" s="12" t="s">
        <v>37</v>
      </c>
      <c r="I3" s="11" t="s">
        <v>47</v>
      </c>
      <c r="J3" s="12" t="s">
        <v>48</v>
      </c>
      <c r="K3" s="13" t="s">
        <v>40</v>
      </c>
      <c r="L3" s="11" t="str">
        <f>"000077"</f>
        <v>000077</v>
      </c>
      <c r="M3" s="10">
        <v>42404</v>
      </c>
      <c r="N3" s="11" t="str">
        <f>"000034"</f>
        <v>000034</v>
      </c>
      <c r="O3" s="10">
        <v>42578</v>
      </c>
      <c r="P3" s="11" t="str">
        <f>"000199"</f>
        <v>000199</v>
      </c>
      <c r="Q3" s="10">
        <v>42580</v>
      </c>
      <c r="R3" s="11">
        <v>16</v>
      </c>
      <c r="S3" s="11" t="str">
        <f>"011040"</f>
        <v>011040</v>
      </c>
      <c r="T3" s="10">
        <v>43187</v>
      </c>
      <c r="U3" s="14">
        <v>10.388</v>
      </c>
      <c r="V3" s="14">
        <v>1.4219999999999999</v>
      </c>
      <c r="W3" s="14">
        <v>8.9659999999999993</v>
      </c>
      <c r="X3" s="11">
        <v>9</v>
      </c>
      <c r="Y3" s="10">
        <v>43200</v>
      </c>
      <c r="Z3" s="11">
        <v>9845187748</v>
      </c>
      <c r="AA3" s="12" t="s">
        <v>49</v>
      </c>
      <c r="AB3" s="11" t="s">
        <v>50</v>
      </c>
      <c r="AC3" s="12" t="s">
        <v>51</v>
      </c>
      <c r="AD3" s="11" t="s">
        <v>52</v>
      </c>
      <c r="AE3" s="12" t="s">
        <v>53</v>
      </c>
      <c r="AF3" s="14">
        <v>0.10388</v>
      </c>
      <c r="AG3" s="11" t="s">
        <v>46</v>
      </c>
    </row>
    <row r="4" spans="1:33" x14ac:dyDescent="0.2">
      <c r="A4" s="8">
        <v>446</v>
      </c>
      <c r="B4" s="9" t="s">
        <v>33</v>
      </c>
      <c r="C4" s="10">
        <v>43200</v>
      </c>
      <c r="D4" s="11">
        <v>167</v>
      </c>
      <c r="E4" s="12" t="s">
        <v>34</v>
      </c>
      <c r="F4" s="12" t="s">
        <v>35</v>
      </c>
      <c r="G4" s="12" t="s">
        <v>36</v>
      </c>
      <c r="H4" s="12" t="s">
        <v>37</v>
      </c>
      <c r="I4" s="11" t="s">
        <v>54</v>
      </c>
      <c r="J4" s="12" t="s">
        <v>55</v>
      </c>
      <c r="K4" s="13" t="s">
        <v>40</v>
      </c>
      <c r="L4" s="11" t="str">
        <f>"000013"</f>
        <v>000013</v>
      </c>
      <c r="M4" s="10">
        <v>42513</v>
      </c>
      <c r="N4" s="11" t="str">
        <f>"000035"</f>
        <v>000035</v>
      </c>
      <c r="O4" s="10">
        <v>42578</v>
      </c>
      <c r="P4" s="11" t="str">
        <f>"000200"</f>
        <v>000200</v>
      </c>
      <c r="Q4" s="10">
        <v>42580</v>
      </c>
      <c r="R4" s="11">
        <v>16</v>
      </c>
      <c r="S4" s="11" t="str">
        <f>"011041"</f>
        <v>011041</v>
      </c>
      <c r="T4" s="10">
        <v>43187</v>
      </c>
      <c r="U4" s="14">
        <v>20.77394</v>
      </c>
      <c r="V4" s="14">
        <v>2.73394</v>
      </c>
      <c r="W4" s="14">
        <v>18.04</v>
      </c>
      <c r="X4" s="11">
        <v>9</v>
      </c>
      <c r="Y4" s="10">
        <v>43200</v>
      </c>
      <c r="Z4" s="11">
        <v>9845187748</v>
      </c>
      <c r="AA4" s="12" t="s">
        <v>56</v>
      </c>
      <c r="AB4" s="11" t="s">
        <v>57</v>
      </c>
      <c r="AC4" s="12" t="s">
        <v>58</v>
      </c>
      <c r="AD4" s="11" t="s">
        <v>52</v>
      </c>
      <c r="AE4" s="12" t="s">
        <v>53</v>
      </c>
      <c r="AF4" s="14">
        <v>0.20773939999999999</v>
      </c>
      <c r="AG4" s="11" t="s">
        <v>46</v>
      </c>
    </row>
    <row r="5" spans="1:33" x14ac:dyDescent="0.2">
      <c r="A5" s="8">
        <v>643</v>
      </c>
      <c r="B5" s="9" t="s">
        <v>33</v>
      </c>
      <c r="C5" s="10">
        <v>43214</v>
      </c>
      <c r="D5" s="11">
        <v>167</v>
      </c>
      <c r="E5" s="12" t="s">
        <v>34</v>
      </c>
      <c r="F5" s="12" t="s">
        <v>35</v>
      </c>
      <c r="G5" s="12" t="s">
        <v>36</v>
      </c>
      <c r="H5" s="12" t="s">
        <v>37</v>
      </c>
      <c r="I5" s="11" t="s">
        <v>59</v>
      </c>
      <c r="J5" s="12" t="s">
        <v>60</v>
      </c>
      <c r="K5" s="13" t="s">
        <v>40</v>
      </c>
      <c r="L5" s="11" t="str">
        <f>"000178"</f>
        <v>000178</v>
      </c>
      <c r="M5" s="10">
        <v>42434</v>
      </c>
      <c r="N5" s="11" t="str">
        <f>"71"</f>
        <v>71</v>
      </c>
      <c r="O5" s="10" t="s">
        <v>61</v>
      </c>
      <c r="P5" s="11" t="str">
        <f>"259"</f>
        <v>259</v>
      </c>
      <c r="Q5" s="10">
        <v>16</v>
      </c>
      <c r="R5" s="11">
        <v>16</v>
      </c>
      <c r="S5" s="11" t="str">
        <f>"000573"</f>
        <v>000573</v>
      </c>
      <c r="T5" s="10">
        <v>43203</v>
      </c>
      <c r="U5" s="14">
        <v>10.0951</v>
      </c>
      <c r="V5" s="14">
        <v>1.1405400000000001</v>
      </c>
      <c r="W5" s="14">
        <v>8.9545600000000007</v>
      </c>
      <c r="X5" s="11">
        <v>23</v>
      </c>
      <c r="Y5" s="10">
        <v>43214</v>
      </c>
      <c r="Z5" s="11">
        <v>8861191195</v>
      </c>
      <c r="AA5" s="12" t="s">
        <v>62</v>
      </c>
      <c r="AB5" s="11" t="s">
        <v>63</v>
      </c>
      <c r="AC5" s="12" t="s">
        <v>64</v>
      </c>
      <c r="AD5" s="11" t="s">
        <v>44</v>
      </c>
      <c r="AE5" s="12" t="s">
        <v>45</v>
      </c>
      <c r="AF5" s="14">
        <v>0.100951</v>
      </c>
      <c r="AG5" s="11" t="s">
        <v>46</v>
      </c>
    </row>
    <row r="6" spans="1:33" x14ac:dyDescent="0.2">
      <c r="A6" s="8">
        <v>844</v>
      </c>
      <c r="B6" s="9" t="s">
        <v>65</v>
      </c>
      <c r="C6" s="10">
        <v>43225</v>
      </c>
      <c r="D6" s="11">
        <v>167</v>
      </c>
      <c r="E6" s="12" t="s">
        <v>34</v>
      </c>
      <c r="F6" s="12" t="s">
        <v>35</v>
      </c>
      <c r="G6" s="12" t="s">
        <v>36</v>
      </c>
      <c r="H6" s="12" t="s">
        <v>37</v>
      </c>
      <c r="I6" s="11" t="s">
        <v>66</v>
      </c>
      <c r="J6" s="12" t="s">
        <v>67</v>
      </c>
      <c r="K6" s="13" t="s">
        <v>68</v>
      </c>
      <c r="L6" s="11" t="str">
        <f>"000070"</f>
        <v>000070</v>
      </c>
      <c r="M6" s="10">
        <v>42699</v>
      </c>
      <c r="N6" s="11" t="str">
        <f>"000048"</f>
        <v>000048</v>
      </c>
      <c r="O6" s="10">
        <v>42758</v>
      </c>
      <c r="P6" s="11" t="str">
        <f>"000258"</f>
        <v>000258</v>
      </c>
      <c r="Q6" s="10">
        <v>42758</v>
      </c>
      <c r="R6" s="11">
        <v>17</v>
      </c>
      <c r="S6" s="11" t="str">
        <f>"001051"</f>
        <v>001051</v>
      </c>
      <c r="T6" s="10">
        <v>43224</v>
      </c>
      <c r="U6" s="14">
        <v>41.577030000000001</v>
      </c>
      <c r="V6" s="14">
        <v>2.9519600000000001</v>
      </c>
      <c r="W6" s="14">
        <v>38.625070000000001</v>
      </c>
      <c r="X6" s="11">
        <v>38</v>
      </c>
      <c r="Y6" s="10">
        <v>43225</v>
      </c>
      <c r="Z6" s="11">
        <v>9448762931</v>
      </c>
      <c r="AA6" s="12" t="s">
        <v>69</v>
      </c>
      <c r="AB6" s="11" t="s">
        <v>70</v>
      </c>
      <c r="AC6" s="12" t="s">
        <v>71</v>
      </c>
      <c r="AD6" s="11" t="s">
        <v>72</v>
      </c>
      <c r="AE6" s="12" t="s">
        <v>73</v>
      </c>
      <c r="AF6" s="14">
        <v>0.41577029999999998</v>
      </c>
      <c r="AG6" s="11" t="s">
        <v>46</v>
      </c>
    </row>
    <row r="7" spans="1:33" x14ac:dyDescent="0.2">
      <c r="A7" s="8">
        <v>1021</v>
      </c>
      <c r="B7" s="9" t="s">
        <v>65</v>
      </c>
      <c r="C7" s="10">
        <v>43229</v>
      </c>
      <c r="D7" s="11">
        <v>167</v>
      </c>
      <c r="E7" s="12" t="s">
        <v>34</v>
      </c>
      <c r="F7" s="12" t="s">
        <v>35</v>
      </c>
      <c r="G7" s="12" t="s">
        <v>36</v>
      </c>
      <c r="H7" s="12" t="s">
        <v>37</v>
      </c>
      <c r="I7" s="11" t="s">
        <v>74</v>
      </c>
      <c r="J7" s="12" t="s">
        <v>75</v>
      </c>
      <c r="K7" s="13" t="s">
        <v>76</v>
      </c>
      <c r="L7" s="11" t="str">
        <f>"4*0048"</f>
        <v>4*0048</v>
      </c>
      <c r="M7" s="10">
        <v>42762</v>
      </c>
      <c r="N7" s="11" t="str">
        <f>"000080"</f>
        <v>000080</v>
      </c>
      <c r="O7" s="10">
        <v>43185</v>
      </c>
      <c r="P7" s="11" t="str">
        <f>"000171"</f>
        <v>000171</v>
      </c>
      <c r="Q7" s="10">
        <v>43187</v>
      </c>
      <c r="R7" s="11">
        <v>16</v>
      </c>
      <c r="S7" s="11" t="str">
        <f>"001174"</f>
        <v>001174</v>
      </c>
      <c r="T7" s="10">
        <v>43228</v>
      </c>
      <c r="U7" s="14">
        <v>39.204520000000002</v>
      </c>
      <c r="V7" s="14">
        <v>1.11652</v>
      </c>
      <c r="W7" s="14">
        <v>38.088000000000001</v>
      </c>
      <c r="X7" s="11">
        <v>43</v>
      </c>
      <c r="Y7" s="10">
        <v>43229</v>
      </c>
      <c r="Z7" s="11">
        <v>9845222227</v>
      </c>
      <c r="AA7" s="12" t="s">
        <v>77</v>
      </c>
      <c r="AB7" s="11" t="s">
        <v>78</v>
      </c>
      <c r="AC7" s="12" t="s">
        <v>79</v>
      </c>
      <c r="AD7" s="11" t="s">
        <v>52</v>
      </c>
      <c r="AE7" s="12" t="s">
        <v>53</v>
      </c>
      <c r="AF7" s="14">
        <v>0.39204520000000004</v>
      </c>
      <c r="AG7" s="11" t="s">
        <v>46</v>
      </c>
    </row>
    <row r="8" spans="1:33" x14ac:dyDescent="0.2">
      <c r="A8" s="8">
        <v>1141</v>
      </c>
      <c r="B8" s="9" t="s">
        <v>65</v>
      </c>
      <c r="C8" s="10">
        <v>43230</v>
      </c>
      <c r="D8" s="11">
        <v>167</v>
      </c>
      <c r="E8" s="12" t="s">
        <v>34</v>
      </c>
      <c r="F8" s="12" t="s">
        <v>35</v>
      </c>
      <c r="G8" s="12" t="s">
        <v>36</v>
      </c>
      <c r="H8" s="12" t="s">
        <v>37</v>
      </c>
      <c r="I8" s="11" t="s">
        <v>80</v>
      </c>
      <c r="J8" s="12" t="s">
        <v>81</v>
      </c>
      <c r="K8" s="13" t="s">
        <v>82</v>
      </c>
      <c r="L8" s="11" t="str">
        <f>"000071"</f>
        <v>000071</v>
      </c>
      <c r="M8" s="10">
        <v>42699</v>
      </c>
      <c r="N8" s="11" t="str">
        <f>"000050"</f>
        <v>000050</v>
      </c>
      <c r="O8" s="10">
        <v>42762</v>
      </c>
      <c r="P8" s="11" t="str">
        <f>"000260"</f>
        <v>000260</v>
      </c>
      <c r="Q8" s="10">
        <v>42762</v>
      </c>
      <c r="R8" s="11">
        <v>17</v>
      </c>
      <c r="S8" s="11" t="str">
        <f>"001207"</f>
        <v>001207</v>
      </c>
      <c r="T8" s="10">
        <v>43228</v>
      </c>
      <c r="U8" s="14">
        <v>10.34343</v>
      </c>
      <c r="V8" s="14">
        <v>0.73438000000000003</v>
      </c>
      <c r="W8" s="14">
        <v>9.6090499999999999</v>
      </c>
      <c r="X8" s="11">
        <v>48</v>
      </c>
      <c r="Y8" s="10">
        <v>43230</v>
      </c>
      <c r="Z8" s="11">
        <v>9738114912</v>
      </c>
      <c r="AA8" s="12" t="s">
        <v>83</v>
      </c>
      <c r="AB8" s="11" t="s">
        <v>42</v>
      </c>
      <c r="AC8" s="12" t="s">
        <v>43</v>
      </c>
      <c r="AD8" s="11" t="s">
        <v>72</v>
      </c>
      <c r="AE8" s="12" t="s">
        <v>73</v>
      </c>
      <c r="AF8" s="14">
        <v>0.10343429999999999</v>
      </c>
      <c r="AG8" s="11" t="s">
        <v>46</v>
      </c>
    </row>
    <row r="9" spans="1:33" x14ac:dyDescent="0.2">
      <c r="A9" s="8">
        <v>2938</v>
      </c>
      <c r="B9" s="9" t="s">
        <v>84</v>
      </c>
      <c r="C9" s="10">
        <v>43283</v>
      </c>
      <c r="D9" s="11">
        <v>167</v>
      </c>
      <c r="E9" s="12" t="s">
        <v>34</v>
      </c>
      <c r="F9" s="12" t="s">
        <v>35</v>
      </c>
      <c r="G9" s="12" t="s">
        <v>36</v>
      </c>
      <c r="H9" s="12" t="s">
        <v>37</v>
      </c>
      <c r="I9" s="11" t="s">
        <v>85</v>
      </c>
      <c r="J9" s="12" t="s">
        <v>86</v>
      </c>
      <c r="K9" s="13" t="s">
        <v>87</v>
      </c>
      <c r="L9" s="11" t="str">
        <f>"000031"</f>
        <v>000031</v>
      </c>
      <c r="M9" s="10">
        <v>42616</v>
      </c>
      <c r="N9" s="11" t="str">
        <f>"000001"</f>
        <v>000001</v>
      </c>
      <c r="O9" s="10">
        <v>42849</v>
      </c>
      <c r="P9" s="11" t="str">
        <f>"000028"</f>
        <v>000028</v>
      </c>
      <c r="Q9" s="10">
        <v>42853</v>
      </c>
      <c r="R9" s="11">
        <v>17</v>
      </c>
      <c r="S9" s="11" t="str">
        <f>"003064"</f>
        <v>003064</v>
      </c>
      <c r="T9" s="10">
        <v>43278</v>
      </c>
      <c r="U9" s="14">
        <v>3.0685199999999999</v>
      </c>
      <c r="V9" s="14">
        <v>0.31052000000000002</v>
      </c>
      <c r="W9" s="14">
        <v>2.758</v>
      </c>
      <c r="X9" s="11">
        <v>108</v>
      </c>
      <c r="Y9" s="10">
        <v>43283</v>
      </c>
      <c r="Z9" s="11">
        <v>9845752097</v>
      </c>
      <c r="AA9" s="12" t="s">
        <v>88</v>
      </c>
      <c r="AB9" s="11" t="s">
        <v>89</v>
      </c>
      <c r="AC9" s="12" t="s">
        <v>90</v>
      </c>
      <c r="AD9" s="11" t="s">
        <v>52</v>
      </c>
      <c r="AE9" s="12" t="s">
        <v>53</v>
      </c>
      <c r="AF9" s="14">
        <v>3.0685199999999999E-2</v>
      </c>
      <c r="AG9" s="11" t="s">
        <v>46</v>
      </c>
    </row>
    <row r="10" spans="1:33" x14ac:dyDescent="0.2">
      <c r="A10" s="8">
        <v>3606</v>
      </c>
      <c r="B10" s="9" t="s">
        <v>84</v>
      </c>
      <c r="C10" s="10">
        <v>43299</v>
      </c>
      <c r="D10" s="11">
        <v>167</v>
      </c>
      <c r="E10" s="12" t="s">
        <v>34</v>
      </c>
      <c r="F10" s="12" t="s">
        <v>35</v>
      </c>
      <c r="G10" s="12" t="s">
        <v>36</v>
      </c>
      <c r="H10" s="12" t="s">
        <v>37</v>
      </c>
      <c r="I10" s="11" t="s">
        <v>91</v>
      </c>
      <c r="J10" s="12" t="s">
        <v>92</v>
      </c>
      <c r="K10" s="13" t="s">
        <v>40</v>
      </c>
      <c r="L10" s="11" t="str">
        <f>"000012"</f>
        <v>000012</v>
      </c>
      <c r="M10" s="10">
        <v>42825</v>
      </c>
      <c r="N10" s="11" t="str">
        <f>"000128"</f>
        <v>000128</v>
      </c>
      <c r="O10" s="10">
        <v>43180</v>
      </c>
      <c r="P10" s="11" t="str">
        <f>"000129"</f>
        <v>000129</v>
      </c>
      <c r="Q10" s="10">
        <v>43180</v>
      </c>
      <c r="R10" s="11">
        <v>16</v>
      </c>
      <c r="S10" s="11" t="str">
        <f>"004304"</f>
        <v>004304</v>
      </c>
      <c r="T10" s="10">
        <v>43306</v>
      </c>
      <c r="U10" s="14">
        <v>16.281949999999998</v>
      </c>
      <c r="V10" s="14">
        <v>1.24302</v>
      </c>
      <c r="W10" s="14">
        <v>15.038930000000001</v>
      </c>
      <c r="X10" s="11">
        <v>127</v>
      </c>
      <c r="Y10" s="10">
        <v>43299</v>
      </c>
      <c r="Z10" s="11">
        <v>0</v>
      </c>
      <c r="AA10" s="12" t="s">
        <v>93</v>
      </c>
      <c r="AB10" s="11" t="s">
        <v>94</v>
      </c>
      <c r="AC10" s="12" t="s">
        <v>95</v>
      </c>
      <c r="AD10" s="11" t="s">
        <v>72</v>
      </c>
      <c r="AE10" s="12" t="s">
        <v>73</v>
      </c>
      <c r="AF10" s="14">
        <v>0.16281949999999998</v>
      </c>
      <c r="AG10" s="11" t="s">
        <v>46</v>
      </c>
    </row>
    <row r="11" spans="1:33" x14ac:dyDescent="0.2">
      <c r="A11" s="8">
        <v>4014</v>
      </c>
      <c r="B11" s="9" t="s">
        <v>84</v>
      </c>
      <c r="C11" s="10">
        <v>43307</v>
      </c>
      <c r="D11" s="11">
        <v>167</v>
      </c>
      <c r="E11" s="12" t="s">
        <v>34</v>
      </c>
      <c r="F11" s="12" t="s">
        <v>35</v>
      </c>
      <c r="G11" s="12" t="s">
        <v>36</v>
      </c>
      <c r="H11" s="12" t="s">
        <v>37</v>
      </c>
      <c r="I11" s="11" t="s">
        <v>96</v>
      </c>
      <c r="J11" s="12" t="s">
        <v>97</v>
      </c>
      <c r="K11" s="13" t="s">
        <v>40</v>
      </c>
      <c r="L11" s="11" t="str">
        <f>"000065"</f>
        <v>000065</v>
      </c>
      <c r="M11" s="10">
        <v>42937</v>
      </c>
      <c r="N11" s="11" t="str">
        <f>"000114"</f>
        <v>000114</v>
      </c>
      <c r="O11" s="10">
        <v>42853</v>
      </c>
      <c r="P11" s="11" t="str">
        <f>"000024"</f>
        <v>000024</v>
      </c>
      <c r="Q11" s="10">
        <v>42853</v>
      </c>
      <c r="R11" s="11">
        <v>17</v>
      </c>
      <c r="S11" s="11" t="str">
        <f>"004051"</f>
        <v>004051</v>
      </c>
      <c r="T11" s="10">
        <v>43301</v>
      </c>
      <c r="U11" s="14">
        <v>20.43338</v>
      </c>
      <c r="V11" s="14">
        <v>1.4507699999999999</v>
      </c>
      <c r="W11" s="14">
        <v>18.982610000000001</v>
      </c>
      <c r="X11" s="11">
        <v>142</v>
      </c>
      <c r="Y11" s="10">
        <v>43307</v>
      </c>
      <c r="Z11" s="11">
        <v>0</v>
      </c>
      <c r="AA11" s="12" t="s">
        <v>98</v>
      </c>
      <c r="AB11" s="11" t="s">
        <v>42</v>
      </c>
      <c r="AC11" s="12" t="s">
        <v>43</v>
      </c>
      <c r="AD11" s="11" t="s">
        <v>72</v>
      </c>
      <c r="AE11" s="12" t="s">
        <v>73</v>
      </c>
      <c r="AF11" s="14">
        <v>0.20433380000000001</v>
      </c>
      <c r="AG11" s="11" t="s">
        <v>46</v>
      </c>
    </row>
    <row r="12" spans="1:33" x14ac:dyDescent="0.2">
      <c r="A12" s="8">
        <v>4169</v>
      </c>
      <c r="B12" s="9" t="s">
        <v>84</v>
      </c>
      <c r="C12" s="10">
        <v>43308</v>
      </c>
      <c r="D12" s="11">
        <v>167</v>
      </c>
      <c r="E12" s="12" t="s">
        <v>34</v>
      </c>
      <c r="F12" s="12" t="s">
        <v>35</v>
      </c>
      <c r="G12" s="12" t="s">
        <v>36</v>
      </c>
      <c r="H12" s="12" t="s">
        <v>37</v>
      </c>
      <c r="I12" s="11" t="s">
        <v>91</v>
      </c>
      <c r="J12" s="12" t="s">
        <v>92</v>
      </c>
      <c r="K12" s="13" t="s">
        <v>40</v>
      </c>
      <c r="L12" s="11" t="str">
        <f>"000012"</f>
        <v>000012</v>
      </c>
      <c r="M12" s="10">
        <v>42825</v>
      </c>
      <c r="N12" s="11" t="str">
        <f>"000128"</f>
        <v>000128</v>
      </c>
      <c r="O12" s="10">
        <v>43180</v>
      </c>
      <c r="P12" s="11" t="str">
        <f>"000129"</f>
        <v>000129</v>
      </c>
      <c r="Q12" s="10">
        <v>43180</v>
      </c>
      <c r="R12" s="11">
        <v>16</v>
      </c>
      <c r="S12" s="11" t="str">
        <f>"004304"</f>
        <v>004304</v>
      </c>
      <c r="T12" s="10">
        <v>43306</v>
      </c>
      <c r="U12" s="14">
        <v>1.4010899999999999</v>
      </c>
      <c r="V12" s="14">
        <v>0.11947000000000001</v>
      </c>
      <c r="W12" s="14">
        <v>1.28162</v>
      </c>
      <c r="X12" s="11">
        <v>146</v>
      </c>
      <c r="Y12" s="10">
        <v>43308</v>
      </c>
      <c r="Z12" s="11">
        <v>0</v>
      </c>
      <c r="AA12" s="12" t="s">
        <v>93</v>
      </c>
      <c r="AB12" s="11" t="s">
        <v>94</v>
      </c>
      <c r="AC12" s="12" t="s">
        <v>95</v>
      </c>
      <c r="AD12" s="11" t="s">
        <v>72</v>
      </c>
      <c r="AE12" s="12" t="s">
        <v>73</v>
      </c>
      <c r="AF12" s="14">
        <v>1.40109E-2</v>
      </c>
      <c r="AG12" s="11" t="s">
        <v>46</v>
      </c>
    </row>
    <row r="13" spans="1:33" x14ac:dyDescent="0.2">
      <c r="A13" s="8">
        <v>4594</v>
      </c>
      <c r="B13" s="9" t="s">
        <v>99</v>
      </c>
      <c r="C13" s="10">
        <v>43318</v>
      </c>
      <c r="D13" s="11">
        <v>167</v>
      </c>
      <c r="E13" s="12" t="s">
        <v>34</v>
      </c>
      <c r="F13" s="12" t="s">
        <v>35</v>
      </c>
      <c r="G13" s="12" t="s">
        <v>36</v>
      </c>
      <c r="H13" s="12" t="s">
        <v>37</v>
      </c>
      <c r="I13" s="11" t="s">
        <v>100</v>
      </c>
      <c r="J13" s="12" t="s">
        <v>101</v>
      </c>
      <c r="K13" s="13" t="s">
        <v>102</v>
      </c>
      <c r="L13" s="11" t="str">
        <f>"000142"</f>
        <v>000142</v>
      </c>
      <c r="M13" s="10">
        <v>42794</v>
      </c>
      <c r="N13" s="11" t="str">
        <f>"000041"</f>
        <v>000041</v>
      </c>
      <c r="O13" s="10">
        <v>42895</v>
      </c>
      <c r="P13" s="11" t="str">
        <f>"000041"</f>
        <v>000041</v>
      </c>
      <c r="Q13" s="10">
        <v>42895</v>
      </c>
      <c r="R13" s="11">
        <v>17</v>
      </c>
      <c r="S13" s="11" t="str">
        <f>"004614"</f>
        <v>004614</v>
      </c>
      <c r="T13" s="10">
        <v>43313</v>
      </c>
      <c r="U13" s="14">
        <v>28.1281</v>
      </c>
      <c r="V13" s="14">
        <v>3.1722000000000001</v>
      </c>
      <c r="W13" s="14">
        <v>24.9559</v>
      </c>
      <c r="X13" s="11">
        <v>158</v>
      </c>
      <c r="Y13" s="10">
        <v>43318</v>
      </c>
      <c r="Z13" s="11">
        <v>9845187748</v>
      </c>
      <c r="AA13" s="12" t="s">
        <v>103</v>
      </c>
      <c r="AB13" s="11" t="s">
        <v>42</v>
      </c>
      <c r="AC13" s="12" t="s">
        <v>43</v>
      </c>
      <c r="AD13" s="11" t="s">
        <v>44</v>
      </c>
      <c r="AE13" s="12" t="s">
        <v>45</v>
      </c>
      <c r="AF13" s="14">
        <v>0.281281</v>
      </c>
      <c r="AG13" s="11" t="s">
        <v>46</v>
      </c>
    </row>
    <row r="14" spans="1:33" x14ac:dyDescent="0.2">
      <c r="A14" s="8">
        <v>4595</v>
      </c>
      <c r="B14" s="9" t="s">
        <v>99</v>
      </c>
      <c r="C14" s="10">
        <v>43318</v>
      </c>
      <c r="D14" s="11">
        <v>167</v>
      </c>
      <c r="E14" s="12" t="s">
        <v>34</v>
      </c>
      <c r="F14" s="12" t="s">
        <v>35</v>
      </c>
      <c r="G14" s="12" t="s">
        <v>36</v>
      </c>
      <c r="H14" s="12" t="s">
        <v>37</v>
      </c>
      <c r="I14" s="11" t="s">
        <v>104</v>
      </c>
      <c r="J14" s="12" t="s">
        <v>105</v>
      </c>
      <c r="K14" s="13" t="s">
        <v>102</v>
      </c>
      <c r="L14" s="11" t="str">
        <f>"000129"</f>
        <v>000129</v>
      </c>
      <c r="M14" s="10">
        <v>42753</v>
      </c>
      <c r="N14" s="11" t="str">
        <f>"000030"</f>
        <v>000030</v>
      </c>
      <c r="O14" s="10">
        <v>42894</v>
      </c>
      <c r="P14" s="11" t="str">
        <f>"000042"</f>
        <v>000042</v>
      </c>
      <c r="Q14" s="10">
        <v>42895</v>
      </c>
      <c r="R14" s="11">
        <v>17</v>
      </c>
      <c r="S14" s="11" t="str">
        <f>"004615"</f>
        <v>004615</v>
      </c>
      <c r="T14" s="10">
        <v>43313</v>
      </c>
      <c r="U14" s="14">
        <v>76.812849999999997</v>
      </c>
      <c r="V14" s="14">
        <v>8.6580899999999996</v>
      </c>
      <c r="W14" s="14">
        <v>68.154759999999996</v>
      </c>
      <c r="X14" s="11">
        <v>158</v>
      </c>
      <c r="Y14" s="10">
        <v>43318</v>
      </c>
      <c r="Z14" s="11">
        <v>9845187748</v>
      </c>
      <c r="AA14" s="12" t="s">
        <v>103</v>
      </c>
      <c r="AB14" s="11" t="s">
        <v>42</v>
      </c>
      <c r="AC14" s="12" t="s">
        <v>43</v>
      </c>
      <c r="AD14" s="11" t="s">
        <v>44</v>
      </c>
      <c r="AE14" s="12" t="s">
        <v>45</v>
      </c>
      <c r="AF14" s="14">
        <v>0.76812849999999999</v>
      </c>
      <c r="AG14" s="11" t="s">
        <v>46</v>
      </c>
    </row>
    <row r="15" spans="1:33" x14ac:dyDescent="0.2">
      <c r="A15" s="8">
        <v>4596</v>
      </c>
      <c r="B15" s="9" t="s">
        <v>99</v>
      </c>
      <c r="C15" s="10">
        <v>43318</v>
      </c>
      <c r="D15" s="11">
        <v>167</v>
      </c>
      <c r="E15" s="12" t="s">
        <v>34</v>
      </c>
      <c r="F15" s="12" t="s">
        <v>35</v>
      </c>
      <c r="G15" s="12" t="s">
        <v>36</v>
      </c>
      <c r="H15" s="12" t="s">
        <v>37</v>
      </c>
      <c r="I15" s="11" t="s">
        <v>106</v>
      </c>
      <c r="J15" s="12" t="s">
        <v>107</v>
      </c>
      <c r="K15" s="13" t="s">
        <v>102</v>
      </c>
      <c r="L15" s="11" t="str">
        <f>"000149"</f>
        <v>000149</v>
      </c>
      <c r="M15" s="10">
        <v>42825</v>
      </c>
      <c r="N15" s="11" t="str">
        <f>"000029"</f>
        <v>000029</v>
      </c>
      <c r="O15" s="10">
        <v>42894</v>
      </c>
      <c r="P15" s="11" t="str">
        <f>"000043"</f>
        <v>000043</v>
      </c>
      <c r="Q15" s="10">
        <v>42895</v>
      </c>
      <c r="R15" s="11">
        <v>17</v>
      </c>
      <c r="S15" s="11" t="str">
        <f>"004639"</f>
        <v>004639</v>
      </c>
      <c r="T15" s="10">
        <v>43313</v>
      </c>
      <c r="U15" s="14">
        <v>26.7849</v>
      </c>
      <c r="V15" s="14">
        <v>2.9752900000000002</v>
      </c>
      <c r="W15" s="14">
        <v>23.809609999999999</v>
      </c>
      <c r="X15" s="11">
        <v>158</v>
      </c>
      <c r="Y15" s="10">
        <v>43318</v>
      </c>
      <c r="Z15" s="11">
        <v>9845187748</v>
      </c>
      <c r="AA15" s="12" t="s">
        <v>103</v>
      </c>
      <c r="AB15" s="11" t="s">
        <v>57</v>
      </c>
      <c r="AC15" s="12" t="s">
        <v>58</v>
      </c>
      <c r="AD15" s="11" t="s">
        <v>44</v>
      </c>
      <c r="AE15" s="12" t="s">
        <v>45</v>
      </c>
      <c r="AF15" s="14">
        <v>0.267849</v>
      </c>
      <c r="AG15" s="11" t="s">
        <v>46</v>
      </c>
    </row>
    <row r="16" spans="1:33" x14ac:dyDescent="0.2">
      <c r="A16" s="8">
        <v>4597</v>
      </c>
      <c r="B16" s="9" t="s">
        <v>99</v>
      </c>
      <c r="C16" s="10">
        <v>43318</v>
      </c>
      <c r="D16" s="11">
        <v>167</v>
      </c>
      <c r="E16" s="12" t="s">
        <v>34</v>
      </c>
      <c r="F16" s="12" t="s">
        <v>35</v>
      </c>
      <c r="G16" s="12" t="s">
        <v>36</v>
      </c>
      <c r="H16" s="12" t="s">
        <v>37</v>
      </c>
      <c r="I16" s="11" t="s">
        <v>108</v>
      </c>
      <c r="J16" s="12" t="s">
        <v>109</v>
      </c>
      <c r="K16" s="13" t="s">
        <v>68</v>
      </c>
      <c r="L16" s="11" t="str">
        <f>"000007"</f>
        <v>000007</v>
      </c>
      <c r="M16" s="10">
        <v>41957</v>
      </c>
      <c r="N16" s="11" t="str">
        <f>" 00009"</f>
        <v xml:space="preserve"> 00009</v>
      </c>
      <c r="O16" s="10">
        <v>42632</v>
      </c>
      <c r="P16" s="11" t="str">
        <f>"08"</f>
        <v>08</v>
      </c>
      <c r="Q16" s="10" t="s">
        <v>110</v>
      </c>
      <c r="R16" s="11">
        <v>14</v>
      </c>
      <c r="S16" s="11" t="str">
        <f>"004760"</f>
        <v>004760</v>
      </c>
      <c r="T16" s="10">
        <v>43314</v>
      </c>
      <c r="U16" s="14">
        <v>8.0393799999999995</v>
      </c>
      <c r="V16" s="14">
        <v>1.9695100000000001</v>
      </c>
      <c r="W16" s="14">
        <v>6.0698699999999999</v>
      </c>
      <c r="X16" s="11">
        <v>160</v>
      </c>
      <c r="Y16" s="10">
        <v>43318</v>
      </c>
      <c r="Z16" s="11">
        <v>9886160724</v>
      </c>
      <c r="AA16" s="12" t="s">
        <v>111</v>
      </c>
      <c r="AB16" s="11" t="s">
        <v>112</v>
      </c>
      <c r="AC16" s="12" t="s">
        <v>113</v>
      </c>
      <c r="AD16" s="11" t="s">
        <v>114</v>
      </c>
      <c r="AE16" s="12" t="s">
        <v>115</v>
      </c>
      <c r="AF16" s="14">
        <v>8.0393800000000001E-2</v>
      </c>
      <c r="AG16" s="11" t="s">
        <v>46</v>
      </c>
    </row>
    <row r="17" spans="1:33" x14ac:dyDescent="0.2">
      <c r="A17" s="8">
        <v>4885</v>
      </c>
      <c r="B17" s="9" t="s">
        <v>99</v>
      </c>
      <c r="C17" s="10">
        <v>43326</v>
      </c>
      <c r="D17" s="11">
        <v>167</v>
      </c>
      <c r="E17" s="12" t="s">
        <v>34</v>
      </c>
      <c r="F17" s="12" t="s">
        <v>35</v>
      </c>
      <c r="G17" s="12" t="s">
        <v>36</v>
      </c>
      <c r="H17" s="12" t="s">
        <v>37</v>
      </c>
      <c r="I17" s="11" t="s">
        <v>116</v>
      </c>
      <c r="J17" s="12" t="s">
        <v>117</v>
      </c>
      <c r="K17" s="13" t="s">
        <v>118</v>
      </c>
      <c r="L17" s="11" t="str">
        <f>"000069"</f>
        <v>000069</v>
      </c>
      <c r="M17" s="10">
        <v>42797</v>
      </c>
      <c r="N17" s="11" t="str">
        <f>"000021"</f>
        <v>000021</v>
      </c>
      <c r="O17" s="10">
        <v>43017</v>
      </c>
      <c r="P17" s="11" t="str">
        <f>"000038"</f>
        <v>000038</v>
      </c>
      <c r="Q17" s="10">
        <v>43025</v>
      </c>
      <c r="R17" s="11">
        <v>17</v>
      </c>
      <c r="S17" s="11" t="str">
        <f>"004977"</f>
        <v>004977</v>
      </c>
      <c r="T17" s="10">
        <v>43320</v>
      </c>
      <c r="U17" s="14">
        <v>10.385770000000001</v>
      </c>
      <c r="V17" s="14">
        <v>0.99577000000000004</v>
      </c>
      <c r="W17" s="14">
        <v>9.39</v>
      </c>
      <c r="X17" s="11">
        <v>171</v>
      </c>
      <c r="Y17" s="10">
        <v>43326</v>
      </c>
      <c r="Z17" s="11">
        <v>9880866688</v>
      </c>
      <c r="AA17" s="12" t="s">
        <v>119</v>
      </c>
      <c r="AB17" s="11" t="s">
        <v>50</v>
      </c>
      <c r="AC17" s="12" t="s">
        <v>51</v>
      </c>
      <c r="AD17" s="11" t="s">
        <v>52</v>
      </c>
      <c r="AE17" s="12" t="s">
        <v>53</v>
      </c>
      <c r="AF17" s="14">
        <v>0.10385770000000001</v>
      </c>
      <c r="AG17" s="11" t="s">
        <v>46</v>
      </c>
    </row>
    <row r="18" spans="1:33" x14ac:dyDescent="0.2">
      <c r="A18" s="8">
        <v>5326</v>
      </c>
      <c r="B18" s="9" t="s">
        <v>120</v>
      </c>
      <c r="C18" s="10">
        <v>43346</v>
      </c>
      <c r="D18" s="11">
        <v>167</v>
      </c>
      <c r="E18" s="12" t="s">
        <v>34</v>
      </c>
      <c r="F18" s="12" t="s">
        <v>35</v>
      </c>
      <c r="G18" s="12" t="s">
        <v>36</v>
      </c>
      <c r="H18" s="12" t="s">
        <v>37</v>
      </c>
      <c r="I18" s="11" t="s">
        <v>121</v>
      </c>
      <c r="J18" s="12" t="s">
        <v>122</v>
      </c>
      <c r="K18" s="13" t="s">
        <v>102</v>
      </c>
      <c r="L18" s="11" t="str">
        <f>"000130"</f>
        <v>000130</v>
      </c>
      <c r="M18" s="10">
        <v>42753</v>
      </c>
      <c r="N18" s="11" t="str">
        <f>"000028"</f>
        <v>000028</v>
      </c>
      <c r="O18" s="10">
        <v>42894</v>
      </c>
      <c r="P18" s="11" t="str">
        <f>"000044"</f>
        <v>000044</v>
      </c>
      <c r="Q18" s="10">
        <v>42895</v>
      </c>
      <c r="R18" s="11">
        <v>17</v>
      </c>
      <c r="S18" s="11" t="str">
        <f>"005505"</f>
        <v>005505</v>
      </c>
      <c r="T18" s="10">
        <v>43340</v>
      </c>
      <c r="U18" s="14">
        <v>53.392049999999998</v>
      </c>
      <c r="V18" s="14">
        <v>5.8975900000000001</v>
      </c>
      <c r="W18" s="14">
        <v>47.494459999999997</v>
      </c>
      <c r="X18" s="11">
        <v>189</v>
      </c>
      <c r="Y18" s="10">
        <v>43346</v>
      </c>
      <c r="Z18" s="11">
        <v>9845187748</v>
      </c>
      <c r="AA18" s="12" t="s">
        <v>103</v>
      </c>
      <c r="AB18" s="11" t="s">
        <v>42</v>
      </c>
      <c r="AC18" s="12" t="s">
        <v>43</v>
      </c>
      <c r="AD18" s="11" t="s">
        <v>44</v>
      </c>
      <c r="AE18" s="12" t="s">
        <v>45</v>
      </c>
      <c r="AF18" s="14">
        <f t="shared" ref="AF18:AF32" si="0">U18/100</f>
        <v>0.53392050000000002</v>
      </c>
      <c r="AG18" s="11" t="s">
        <v>46</v>
      </c>
    </row>
    <row r="19" spans="1:33" x14ac:dyDescent="0.2">
      <c r="A19" s="8">
        <v>5564</v>
      </c>
      <c r="B19" s="9" t="s">
        <v>120</v>
      </c>
      <c r="C19" s="10">
        <v>43363</v>
      </c>
      <c r="D19" s="11">
        <v>167</v>
      </c>
      <c r="E19" s="12" t="s">
        <v>34</v>
      </c>
      <c r="F19" s="12" t="s">
        <v>35</v>
      </c>
      <c r="G19" s="12" t="s">
        <v>36</v>
      </c>
      <c r="H19" s="12" t="s">
        <v>37</v>
      </c>
      <c r="I19" s="11" t="s">
        <v>123</v>
      </c>
      <c r="J19" s="12" t="s">
        <v>124</v>
      </c>
      <c r="K19" s="13" t="s">
        <v>40</v>
      </c>
      <c r="L19" s="11" t="str">
        <f>"000095"</f>
        <v>000095</v>
      </c>
      <c r="M19" s="10">
        <v>42964</v>
      </c>
      <c r="N19" s="11" t="str">
        <f>"000040"</f>
        <v>000040</v>
      </c>
      <c r="O19" s="10">
        <v>43339</v>
      </c>
      <c r="P19" s="11" t="str">
        <f>"000041"</f>
        <v>000041</v>
      </c>
      <c r="Q19" s="10">
        <v>43339</v>
      </c>
      <c r="R19" s="11">
        <v>17</v>
      </c>
      <c r="S19" s="11" t="str">
        <f>"005804"</f>
        <v>005804</v>
      </c>
      <c r="T19" s="10">
        <v>43361</v>
      </c>
      <c r="U19" s="14">
        <v>10.24769</v>
      </c>
      <c r="V19" s="14">
        <v>0.41768</v>
      </c>
      <c r="W19" s="14">
        <v>9.8300099999999997</v>
      </c>
      <c r="X19" s="11">
        <v>208</v>
      </c>
      <c r="Y19" s="10">
        <v>43363</v>
      </c>
      <c r="Z19" s="11">
        <v>0</v>
      </c>
      <c r="AA19" s="12" t="s">
        <v>125</v>
      </c>
      <c r="AB19" s="11" t="s">
        <v>126</v>
      </c>
      <c r="AC19" s="12" t="s">
        <v>127</v>
      </c>
      <c r="AD19" s="11" t="s">
        <v>72</v>
      </c>
      <c r="AE19" s="12" t="s">
        <v>73</v>
      </c>
      <c r="AF19" s="14">
        <f t="shared" si="0"/>
        <v>0.10247690000000001</v>
      </c>
      <c r="AG19" s="11" t="s">
        <v>128</v>
      </c>
    </row>
    <row r="20" spans="1:33" x14ac:dyDescent="0.2">
      <c r="A20" s="8">
        <v>6270</v>
      </c>
      <c r="B20" s="9" t="s">
        <v>129</v>
      </c>
      <c r="C20" s="10">
        <v>43385</v>
      </c>
      <c r="D20" s="11">
        <v>167</v>
      </c>
      <c r="E20" s="12" t="s">
        <v>34</v>
      </c>
      <c r="F20" s="12" t="s">
        <v>35</v>
      </c>
      <c r="G20" s="12" t="s">
        <v>36</v>
      </c>
      <c r="H20" s="12" t="s">
        <v>37</v>
      </c>
      <c r="I20" s="11" t="s">
        <v>130</v>
      </c>
      <c r="J20" s="12" t="s">
        <v>131</v>
      </c>
      <c r="K20" s="13" t="s">
        <v>132</v>
      </c>
      <c r="L20" s="11" t="str">
        <f>"000017"</f>
        <v>000017</v>
      </c>
      <c r="M20" s="10">
        <v>43147</v>
      </c>
      <c r="N20" s="11" t="str">
        <f>"000021"</f>
        <v>000021</v>
      </c>
      <c r="O20" s="10">
        <v>43421</v>
      </c>
      <c r="P20" s="11" t="str">
        <f>"000206"</f>
        <v>000206</v>
      </c>
      <c r="Q20" s="10">
        <v>43423</v>
      </c>
      <c r="R20" s="11">
        <v>18</v>
      </c>
      <c r="S20" s="11" t="str">
        <f>"008361"</f>
        <v>008361</v>
      </c>
      <c r="T20" s="10">
        <v>43463</v>
      </c>
      <c r="U20" s="14">
        <v>160.16999999999999</v>
      </c>
      <c r="V20" s="14">
        <v>3.7730000000000001</v>
      </c>
      <c r="W20" s="14">
        <v>156.39699999999999</v>
      </c>
      <c r="X20" s="11">
        <v>232</v>
      </c>
      <c r="Y20" s="10">
        <v>43385</v>
      </c>
      <c r="Z20" s="11">
        <v>9845187748</v>
      </c>
      <c r="AA20" s="12" t="s">
        <v>133</v>
      </c>
      <c r="AB20" s="11" t="s">
        <v>78</v>
      </c>
      <c r="AC20" s="12" t="s">
        <v>79</v>
      </c>
      <c r="AD20" s="11" t="s">
        <v>134</v>
      </c>
      <c r="AE20" s="12" t="s">
        <v>135</v>
      </c>
      <c r="AF20" s="14">
        <f t="shared" si="0"/>
        <v>1.6016999999999999</v>
      </c>
      <c r="AG20" s="11" t="s">
        <v>128</v>
      </c>
    </row>
    <row r="21" spans="1:33" x14ac:dyDescent="0.2">
      <c r="A21" s="8">
        <v>6637</v>
      </c>
      <c r="B21" s="9" t="s">
        <v>129</v>
      </c>
      <c r="C21" s="10">
        <v>43389</v>
      </c>
      <c r="D21" s="11">
        <v>167</v>
      </c>
      <c r="E21" s="12" t="s">
        <v>34</v>
      </c>
      <c r="F21" s="12" t="s">
        <v>35</v>
      </c>
      <c r="G21" s="12" t="s">
        <v>36</v>
      </c>
      <c r="H21" s="12" t="s">
        <v>37</v>
      </c>
      <c r="I21" s="11" t="s">
        <v>136</v>
      </c>
      <c r="J21" s="12" t="s">
        <v>137</v>
      </c>
      <c r="K21" s="13" t="s">
        <v>76</v>
      </c>
      <c r="L21" s="11" t="str">
        <f>"000090"</f>
        <v>000090</v>
      </c>
      <c r="M21" s="10">
        <v>42404</v>
      </c>
      <c r="N21" s="11" t="str">
        <f>"000043"</f>
        <v>000043</v>
      </c>
      <c r="O21" s="10">
        <v>42626</v>
      </c>
      <c r="P21" s="11" t="str">
        <f>"000057"</f>
        <v>000057</v>
      </c>
      <c r="Q21" s="10">
        <v>42871</v>
      </c>
      <c r="R21" s="11">
        <v>16</v>
      </c>
      <c r="S21" s="11" t="str">
        <f>"006559"</f>
        <v>006559</v>
      </c>
      <c r="T21" s="10">
        <v>43383</v>
      </c>
      <c r="U21" s="14">
        <v>10.37726</v>
      </c>
      <c r="V21" s="14">
        <v>1.42126</v>
      </c>
      <c r="W21" s="14">
        <v>8.9559999999999995</v>
      </c>
      <c r="X21" s="11">
        <v>243</v>
      </c>
      <c r="Y21" s="10">
        <v>43389</v>
      </c>
      <c r="Z21" s="11">
        <v>9901333577</v>
      </c>
      <c r="AA21" s="12" t="s">
        <v>138</v>
      </c>
      <c r="AB21" s="11" t="s">
        <v>50</v>
      </c>
      <c r="AC21" s="12" t="s">
        <v>51</v>
      </c>
      <c r="AD21" s="11" t="s">
        <v>52</v>
      </c>
      <c r="AE21" s="12" t="s">
        <v>53</v>
      </c>
      <c r="AF21" s="14">
        <f t="shared" si="0"/>
        <v>0.10377259999999999</v>
      </c>
      <c r="AG21" s="11" t="s">
        <v>46</v>
      </c>
    </row>
    <row r="22" spans="1:33" x14ac:dyDescent="0.2">
      <c r="A22" s="8">
        <v>6862</v>
      </c>
      <c r="B22" s="9" t="s">
        <v>129</v>
      </c>
      <c r="C22" s="10">
        <v>43398</v>
      </c>
      <c r="D22" s="11">
        <v>167</v>
      </c>
      <c r="E22" s="12" t="s">
        <v>34</v>
      </c>
      <c r="F22" s="12" t="s">
        <v>35</v>
      </c>
      <c r="G22" s="12" t="s">
        <v>36</v>
      </c>
      <c r="H22" s="12" t="s">
        <v>37</v>
      </c>
      <c r="I22" s="11" t="s">
        <v>139</v>
      </c>
      <c r="J22" s="12" t="s">
        <v>140</v>
      </c>
      <c r="K22" s="13" t="s">
        <v>87</v>
      </c>
      <c r="L22" s="11" t="str">
        <f>"000100"</f>
        <v>000100</v>
      </c>
      <c r="M22" s="10">
        <v>42801</v>
      </c>
      <c r="N22" s="11" t="str">
        <f>"000023"</f>
        <v>000023</v>
      </c>
      <c r="O22" s="10">
        <v>43017</v>
      </c>
      <c r="P22" s="11" t="str">
        <f>"000040"</f>
        <v>000040</v>
      </c>
      <c r="Q22" s="10">
        <v>43025</v>
      </c>
      <c r="R22" s="11">
        <v>17</v>
      </c>
      <c r="S22" s="11" t="str">
        <f>"006908"</f>
        <v>006908</v>
      </c>
      <c r="T22" s="10">
        <v>43395</v>
      </c>
      <c r="U22" s="14">
        <v>10.49</v>
      </c>
      <c r="V22" s="14">
        <v>0.95599999999999996</v>
      </c>
      <c r="W22" s="14">
        <v>9.5340000000000007</v>
      </c>
      <c r="X22" s="11">
        <v>248</v>
      </c>
      <c r="Y22" s="10">
        <v>43398</v>
      </c>
      <c r="Z22" s="11">
        <v>9945999770</v>
      </c>
      <c r="AA22" s="12" t="s">
        <v>141</v>
      </c>
      <c r="AB22" s="11" t="s">
        <v>142</v>
      </c>
      <c r="AC22" s="12" t="s">
        <v>143</v>
      </c>
      <c r="AD22" s="11" t="s">
        <v>52</v>
      </c>
      <c r="AE22" s="12" t="s">
        <v>53</v>
      </c>
      <c r="AF22" s="14">
        <f t="shared" si="0"/>
        <v>0.10490000000000001</v>
      </c>
      <c r="AG22" s="11" t="s">
        <v>46</v>
      </c>
    </row>
    <row r="23" spans="1:33" x14ac:dyDescent="0.2">
      <c r="A23" s="8">
        <v>6863</v>
      </c>
      <c r="B23" s="9" t="s">
        <v>129</v>
      </c>
      <c r="C23" s="10">
        <v>43398</v>
      </c>
      <c r="D23" s="11">
        <v>167</v>
      </c>
      <c r="E23" s="12" t="s">
        <v>34</v>
      </c>
      <c r="F23" s="12" t="s">
        <v>35</v>
      </c>
      <c r="G23" s="12" t="s">
        <v>36</v>
      </c>
      <c r="H23" s="12" t="s">
        <v>37</v>
      </c>
      <c r="I23" s="11" t="s">
        <v>144</v>
      </c>
      <c r="J23" s="12" t="s">
        <v>145</v>
      </c>
      <c r="K23" s="13" t="s">
        <v>87</v>
      </c>
      <c r="L23" s="11" t="str">
        <f>"000050"</f>
        <v>000050</v>
      </c>
      <c r="M23" s="10">
        <v>42891</v>
      </c>
      <c r="N23" s="11" t="str">
        <f>"000073"</f>
        <v>000073</v>
      </c>
      <c r="O23" s="10">
        <v>43174</v>
      </c>
      <c r="P23" s="11" t="str">
        <f>"000167"</f>
        <v>000167</v>
      </c>
      <c r="Q23" s="10">
        <v>43178</v>
      </c>
      <c r="R23" s="11">
        <v>17</v>
      </c>
      <c r="S23" s="11" t="str">
        <f>"006913"</f>
        <v>006913</v>
      </c>
      <c r="T23" s="10">
        <v>43395</v>
      </c>
      <c r="U23" s="14">
        <v>54.95</v>
      </c>
      <c r="V23" s="14">
        <v>5.2759999999999998</v>
      </c>
      <c r="W23" s="14">
        <v>49.673999999999999</v>
      </c>
      <c r="X23" s="11">
        <v>248</v>
      </c>
      <c r="Y23" s="10">
        <v>43398</v>
      </c>
      <c r="Z23" s="11">
        <v>9845372595</v>
      </c>
      <c r="AA23" s="12" t="s">
        <v>146</v>
      </c>
      <c r="AB23" s="11" t="s">
        <v>142</v>
      </c>
      <c r="AC23" s="12" t="s">
        <v>143</v>
      </c>
      <c r="AD23" s="11" t="s">
        <v>52</v>
      </c>
      <c r="AE23" s="12" t="s">
        <v>53</v>
      </c>
      <c r="AF23" s="14">
        <f t="shared" si="0"/>
        <v>0.54949999999999999</v>
      </c>
      <c r="AG23" s="11" t="s">
        <v>46</v>
      </c>
    </row>
    <row r="24" spans="1:33" x14ac:dyDescent="0.2">
      <c r="A24" s="8">
        <v>6883</v>
      </c>
      <c r="B24" s="9" t="s">
        <v>129</v>
      </c>
      <c r="C24" s="10">
        <v>43399</v>
      </c>
      <c r="D24" s="11">
        <v>167</v>
      </c>
      <c r="E24" s="12" t="s">
        <v>34</v>
      </c>
      <c r="F24" s="12" t="s">
        <v>35</v>
      </c>
      <c r="G24" s="12" t="s">
        <v>36</v>
      </c>
      <c r="H24" s="12" t="s">
        <v>37</v>
      </c>
      <c r="I24" s="11" t="s">
        <v>147</v>
      </c>
      <c r="J24" s="12" t="s">
        <v>148</v>
      </c>
      <c r="K24" s="13" t="s">
        <v>132</v>
      </c>
      <c r="L24" s="11" t="str">
        <f>"000019"</f>
        <v>000019</v>
      </c>
      <c r="M24" s="10">
        <v>43285</v>
      </c>
      <c r="N24" s="11" t="str">
        <f>"000052"</f>
        <v>000052</v>
      </c>
      <c r="O24" s="10">
        <v>43369</v>
      </c>
      <c r="P24" s="11" t="str">
        <f>"000093"</f>
        <v>000093</v>
      </c>
      <c r="Q24" s="10">
        <v>43369</v>
      </c>
      <c r="R24" s="11">
        <v>18</v>
      </c>
      <c r="S24" s="11" t="str">
        <f>"006936"</f>
        <v>006936</v>
      </c>
      <c r="T24" s="10">
        <v>43398</v>
      </c>
      <c r="U24" s="14">
        <v>23.851320000000001</v>
      </c>
      <c r="V24" s="14">
        <v>1.9173199999999999</v>
      </c>
      <c r="W24" s="14">
        <v>21.934000000000001</v>
      </c>
      <c r="X24" s="11">
        <v>250</v>
      </c>
      <c r="Y24" s="10">
        <v>43399</v>
      </c>
      <c r="Z24" s="11">
        <v>9880866688</v>
      </c>
      <c r="AA24" s="12" t="s">
        <v>149</v>
      </c>
      <c r="AB24" s="11" t="s">
        <v>78</v>
      </c>
      <c r="AC24" s="12" t="s">
        <v>79</v>
      </c>
      <c r="AD24" s="11" t="s">
        <v>52</v>
      </c>
      <c r="AE24" s="12" t="s">
        <v>53</v>
      </c>
      <c r="AF24" s="14">
        <f t="shared" si="0"/>
        <v>0.23851320000000001</v>
      </c>
      <c r="AG24" s="11" t="s">
        <v>150</v>
      </c>
    </row>
    <row r="25" spans="1:33" x14ac:dyDescent="0.2">
      <c r="A25" s="8">
        <v>7027</v>
      </c>
      <c r="B25" s="9" t="s">
        <v>129</v>
      </c>
      <c r="C25" s="10">
        <v>43403</v>
      </c>
      <c r="D25" s="11">
        <v>167</v>
      </c>
      <c r="E25" s="12" t="s">
        <v>34</v>
      </c>
      <c r="F25" s="12" t="s">
        <v>35</v>
      </c>
      <c r="G25" s="12" t="s">
        <v>36</v>
      </c>
      <c r="H25" s="12" t="s">
        <v>37</v>
      </c>
      <c r="I25" s="11" t="s">
        <v>151</v>
      </c>
      <c r="J25" s="12" t="s">
        <v>152</v>
      </c>
      <c r="K25" s="13" t="s">
        <v>102</v>
      </c>
      <c r="L25" s="11" t="str">
        <f>"000046"</f>
        <v>000046</v>
      </c>
      <c r="M25" s="10">
        <v>42886</v>
      </c>
      <c r="N25" s="11" t="str">
        <f>"000024"</f>
        <v>000024</v>
      </c>
      <c r="O25" s="10">
        <v>43017</v>
      </c>
      <c r="P25" s="11" t="str">
        <f>"000041"</f>
        <v>000041</v>
      </c>
      <c r="Q25" s="10">
        <v>43025</v>
      </c>
      <c r="R25" s="11">
        <v>17</v>
      </c>
      <c r="S25" s="11" t="str">
        <f>"006972"</f>
        <v>006972</v>
      </c>
      <c r="T25" s="10">
        <v>43399</v>
      </c>
      <c r="U25" s="14">
        <v>16.607620000000001</v>
      </c>
      <c r="V25" s="14">
        <v>1.60562</v>
      </c>
      <c r="W25" s="14">
        <v>15.002000000000001</v>
      </c>
      <c r="X25" s="11">
        <v>253</v>
      </c>
      <c r="Y25" s="10">
        <v>43403</v>
      </c>
      <c r="Z25" s="11">
        <v>9845187748</v>
      </c>
      <c r="AA25" s="12" t="s">
        <v>153</v>
      </c>
      <c r="AB25" s="11" t="s">
        <v>57</v>
      </c>
      <c r="AC25" s="12" t="s">
        <v>58</v>
      </c>
      <c r="AD25" s="11" t="s">
        <v>52</v>
      </c>
      <c r="AE25" s="12" t="s">
        <v>53</v>
      </c>
      <c r="AF25" s="14">
        <f t="shared" si="0"/>
        <v>0.16607620000000001</v>
      </c>
      <c r="AG25" s="11" t="s">
        <v>46</v>
      </c>
    </row>
    <row r="26" spans="1:33" x14ac:dyDescent="0.2">
      <c r="A26" s="8">
        <v>7176</v>
      </c>
      <c r="B26" s="9" t="s">
        <v>154</v>
      </c>
      <c r="C26" s="10">
        <v>43418</v>
      </c>
      <c r="D26" s="11">
        <v>167</v>
      </c>
      <c r="E26" s="12" t="s">
        <v>34</v>
      </c>
      <c r="F26" s="12" t="s">
        <v>35</v>
      </c>
      <c r="G26" s="12" t="s">
        <v>36</v>
      </c>
      <c r="H26" s="12" t="s">
        <v>37</v>
      </c>
      <c r="I26" s="11" t="s">
        <v>155</v>
      </c>
      <c r="J26" s="12" t="s">
        <v>156</v>
      </c>
      <c r="K26" s="13" t="s">
        <v>118</v>
      </c>
      <c r="L26" s="11" t="str">
        <f>"000018"</f>
        <v>000018</v>
      </c>
      <c r="M26" s="10">
        <v>42870</v>
      </c>
      <c r="N26" s="11" t="str">
        <f>"000038"</f>
        <v>000038</v>
      </c>
      <c r="O26" s="10">
        <v>43145</v>
      </c>
      <c r="P26" s="11" t="str">
        <f>"000094"</f>
        <v>000094</v>
      </c>
      <c r="Q26" s="10">
        <v>43147</v>
      </c>
      <c r="R26" s="11">
        <v>17</v>
      </c>
      <c r="S26" s="11" t="str">
        <f>"007152"</f>
        <v>007152</v>
      </c>
      <c r="T26" s="10">
        <v>43403</v>
      </c>
      <c r="U26" s="14">
        <v>15.19435</v>
      </c>
      <c r="V26" s="14">
        <v>1.42235</v>
      </c>
      <c r="W26" s="14">
        <v>13.772</v>
      </c>
      <c r="X26" s="11">
        <v>261</v>
      </c>
      <c r="Y26" s="10">
        <v>43418</v>
      </c>
      <c r="Z26" s="11">
        <v>9591160491</v>
      </c>
      <c r="AA26" s="12" t="s">
        <v>157</v>
      </c>
      <c r="AB26" s="11" t="s">
        <v>158</v>
      </c>
      <c r="AC26" s="12" t="s">
        <v>159</v>
      </c>
      <c r="AD26" s="11" t="s">
        <v>52</v>
      </c>
      <c r="AE26" s="12" t="s">
        <v>53</v>
      </c>
      <c r="AF26" s="14">
        <f t="shared" si="0"/>
        <v>0.15194350000000001</v>
      </c>
      <c r="AG26" s="11" t="s">
        <v>46</v>
      </c>
    </row>
    <row r="27" spans="1:33" x14ac:dyDescent="0.2">
      <c r="A27" s="8">
        <v>7803</v>
      </c>
      <c r="B27" s="9" t="s">
        <v>160</v>
      </c>
      <c r="C27" s="10">
        <v>43448</v>
      </c>
      <c r="D27" s="11">
        <v>167</v>
      </c>
      <c r="E27" s="12" t="s">
        <v>34</v>
      </c>
      <c r="F27" s="12" t="s">
        <v>35</v>
      </c>
      <c r="G27" s="12" t="s">
        <v>36</v>
      </c>
      <c r="H27" s="12" t="s">
        <v>37</v>
      </c>
      <c r="I27" s="11" t="s">
        <v>161</v>
      </c>
      <c r="J27" s="12" t="s">
        <v>162</v>
      </c>
      <c r="K27" s="13" t="s">
        <v>68</v>
      </c>
      <c r="L27" s="11" t="str">
        <f>"000108"</f>
        <v>000108</v>
      </c>
      <c r="M27" s="10">
        <v>43025</v>
      </c>
      <c r="N27" s="11" t="str">
        <f>"000021"</f>
        <v>000021</v>
      </c>
      <c r="O27" s="10">
        <v>43025</v>
      </c>
      <c r="P27" s="11" t="str">
        <f>"000014"</f>
        <v>000014</v>
      </c>
      <c r="Q27" s="10">
        <v>43033</v>
      </c>
      <c r="R27" s="11">
        <v>17</v>
      </c>
      <c r="S27" s="11" t="str">
        <f>"007808"</f>
        <v>007808</v>
      </c>
      <c r="T27" s="10">
        <v>43444</v>
      </c>
      <c r="U27" s="14">
        <v>3.09761</v>
      </c>
      <c r="V27" s="14">
        <v>0.15798000000000001</v>
      </c>
      <c r="W27" s="14">
        <v>2.9396300000000002</v>
      </c>
      <c r="X27" s="11">
        <v>292</v>
      </c>
      <c r="Y27" s="10">
        <v>43448</v>
      </c>
      <c r="Z27" s="11">
        <v>0</v>
      </c>
      <c r="AA27" s="12" t="s">
        <v>163</v>
      </c>
      <c r="AB27" s="11" t="s">
        <v>164</v>
      </c>
      <c r="AC27" s="12" t="s">
        <v>165</v>
      </c>
      <c r="AD27" s="11" t="s">
        <v>72</v>
      </c>
      <c r="AE27" s="12" t="s">
        <v>73</v>
      </c>
      <c r="AF27" s="14">
        <f t="shared" si="0"/>
        <v>3.0976099999999999E-2</v>
      </c>
      <c r="AG27" s="11" t="s">
        <v>46</v>
      </c>
    </row>
    <row r="28" spans="1:33" x14ac:dyDescent="0.2">
      <c r="A28" s="8">
        <v>7804</v>
      </c>
      <c r="B28" s="9" t="s">
        <v>160</v>
      </c>
      <c r="C28" s="10">
        <v>43448</v>
      </c>
      <c r="D28" s="11">
        <v>167</v>
      </c>
      <c r="E28" s="12" t="s">
        <v>34</v>
      </c>
      <c r="F28" s="12" t="s">
        <v>35</v>
      </c>
      <c r="G28" s="12" t="s">
        <v>36</v>
      </c>
      <c r="H28" s="12" t="s">
        <v>37</v>
      </c>
      <c r="I28" s="11" t="s">
        <v>166</v>
      </c>
      <c r="J28" s="12" t="s">
        <v>167</v>
      </c>
      <c r="K28" s="13" t="s">
        <v>102</v>
      </c>
      <c r="L28" s="11" t="str">
        <f>"000107"</f>
        <v>000107</v>
      </c>
      <c r="M28" s="10">
        <v>42996</v>
      </c>
      <c r="N28" s="11" t="str">
        <f>"000019"</f>
        <v>000019</v>
      </c>
      <c r="O28" s="10">
        <v>43024</v>
      </c>
      <c r="P28" s="11" t="str">
        <f>"000015"</f>
        <v>000015</v>
      </c>
      <c r="Q28" s="10">
        <v>43033</v>
      </c>
      <c r="R28" s="11">
        <v>17</v>
      </c>
      <c r="S28" s="11" t="str">
        <f>"007818"</f>
        <v>007818</v>
      </c>
      <c r="T28" s="10">
        <v>43444</v>
      </c>
      <c r="U28" s="14">
        <v>20.251149999999999</v>
      </c>
      <c r="V28" s="14">
        <v>1.0327999999999999</v>
      </c>
      <c r="W28" s="14">
        <v>19.218350000000001</v>
      </c>
      <c r="X28" s="11">
        <v>292</v>
      </c>
      <c r="Y28" s="10">
        <v>43448</v>
      </c>
      <c r="Z28" s="11">
        <v>0</v>
      </c>
      <c r="AA28" s="12" t="s">
        <v>168</v>
      </c>
      <c r="AB28" s="11" t="s">
        <v>42</v>
      </c>
      <c r="AC28" s="12" t="s">
        <v>43</v>
      </c>
      <c r="AD28" s="11" t="s">
        <v>72</v>
      </c>
      <c r="AE28" s="12" t="s">
        <v>73</v>
      </c>
      <c r="AF28" s="14">
        <f t="shared" si="0"/>
        <v>0.20251149999999998</v>
      </c>
      <c r="AG28" s="11" t="s">
        <v>46</v>
      </c>
    </row>
    <row r="29" spans="1:33" x14ac:dyDescent="0.2">
      <c r="A29" s="8">
        <v>8212</v>
      </c>
      <c r="B29" s="9" t="s">
        <v>169</v>
      </c>
      <c r="C29" s="10">
        <v>43466</v>
      </c>
      <c r="D29" s="11">
        <v>167</v>
      </c>
      <c r="E29" s="12" t="s">
        <v>34</v>
      </c>
      <c r="F29" s="12" t="s">
        <v>35</v>
      </c>
      <c r="G29" s="12" t="s">
        <v>36</v>
      </c>
      <c r="H29" s="12" t="s">
        <v>37</v>
      </c>
      <c r="I29" s="11" t="s">
        <v>130</v>
      </c>
      <c r="J29" s="12" t="s">
        <v>131</v>
      </c>
      <c r="K29" s="13" t="s">
        <v>132</v>
      </c>
      <c r="L29" s="11" t="str">
        <f>"000017"</f>
        <v>000017</v>
      </c>
      <c r="M29" s="10">
        <v>43147</v>
      </c>
      <c r="N29" s="11" t="str">
        <f>"000023"</f>
        <v>000023</v>
      </c>
      <c r="O29" s="10">
        <v>43502</v>
      </c>
      <c r="P29" s="11" t="str">
        <f>"000283"</f>
        <v>000283</v>
      </c>
      <c r="Q29" s="10">
        <v>43502</v>
      </c>
      <c r="R29" s="11"/>
      <c r="S29" s="11" t="str">
        <f>""</f>
        <v/>
      </c>
      <c r="T29" s="10"/>
      <c r="U29" s="14">
        <v>115.5</v>
      </c>
      <c r="V29" s="14">
        <v>5.4974999999999996</v>
      </c>
      <c r="W29" s="14">
        <v>110.0025</v>
      </c>
      <c r="X29" s="11">
        <v>309</v>
      </c>
      <c r="Y29" s="10">
        <v>43466</v>
      </c>
      <c r="Z29" s="11">
        <v>9845187748</v>
      </c>
      <c r="AA29" s="12" t="s">
        <v>133</v>
      </c>
      <c r="AB29" s="11" t="s">
        <v>78</v>
      </c>
      <c r="AC29" s="12" t="s">
        <v>79</v>
      </c>
      <c r="AD29" s="11" t="s">
        <v>134</v>
      </c>
      <c r="AE29" s="12" t="s">
        <v>135</v>
      </c>
      <c r="AF29" s="14">
        <f t="shared" si="0"/>
        <v>1.155</v>
      </c>
      <c r="AG29" s="11" t="s">
        <v>128</v>
      </c>
    </row>
    <row r="30" spans="1:33" x14ac:dyDescent="0.2">
      <c r="A30" s="8">
        <v>9600</v>
      </c>
      <c r="B30" s="9" t="s">
        <v>170</v>
      </c>
      <c r="C30" s="10">
        <v>43531</v>
      </c>
      <c r="D30" s="11">
        <v>167</v>
      </c>
      <c r="E30" s="12" t="s">
        <v>34</v>
      </c>
      <c r="F30" s="12" t="s">
        <v>35</v>
      </c>
      <c r="G30" s="12" t="s">
        <v>36</v>
      </c>
      <c r="H30" s="12" t="s">
        <v>37</v>
      </c>
      <c r="I30" s="11" t="s">
        <v>171</v>
      </c>
      <c r="J30" s="12" t="s">
        <v>172</v>
      </c>
      <c r="K30" s="13" t="s">
        <v>87</v>
      </c>
      <c r="L30" s="11" t="str">
        <f>"000082"</f>
        <v>000082</v>
      </c>
      <c r="M30" s="10">
        <v>42947</v>
      </c>
      <c r="N30" s="11" t="str">
        <f>"000079"</f>
        <v>000079</v>
      </c>
      <c r="O30" s="10">
        <v>43081</v>
      </c>
      <c r="P30" s="11" t="str">
        <f>"000085"</f>
        <v>000085</v>
      </c>
      <c r="Q30" s="10">
        <v>43109</v>
      </c>
      <c r="R30" s="11"/>
      <c r="S30" s="11" t="str">
        <f>"009495"</f>
        <v>009495</v>
      </c>
      <c r="T30" s="10">
        <v>43525</v>
      </c>
      <c r="U30" s="14">
        <v>22.379100000000001</v>
      </c>
      <c r="V30" s="14">
        <v>1.14133</v>
      </c>
      <c r="W30" s="14">
        <v>21.237770000000001</v>
      </c>
      <c r="X30" s="11">
        <v>371</v>
      </c>
      <c r="Y30" s="10">
        <v>43531</v>
      </c>
      <c r="Z30" s="11">
        <v>0</v>
      </c>
      <c r="AA30" s="12" t="s">
        <v>173</v>
      </c>
      <c r="AB30" s="11" t="s">
        <v>42</v>
      </c>
      <c r="AC30" s="12" t="s">
        <v>43</v>
      </c>
      <c r="AD30" s="11" t="s">
        <v>72</v>
      </c>
      <c r="AE30" s="12" t="s">
        <v>73</v>
      </c>
      <c r="AF30" s="14">
        <f t="shared" si="0"/>
        <v>0.22379100000000002</v>
      </c>
      <c r="AG30" s="11" t="s">
        <v>46</v>
      </c>
    </row>
    <row r="31" spans="1:33" x14ac:dyDescent="0.2">
      <c r="A31" s="8">
        <v>9606</v>
      </c>
      <c r="B31" s="9" t="s">
        <v>170</v>
      </c>
      <c r="C31" s="10">
        <v>43531</v>
      </c>
      <c r="D31" s="11">
        <v>167</v>
      </c>
      <c r="E31" s="12" t="s">
        <v>34</v>
      </c>
      <c r="F31" s="12" t="s">
        <v>35</v>
      </c>
      <c r="G31" s="12" t="s">
        <v>36</v>
      </c>
      <c r="H31" s="12" t="s">
        <v>37</v>
      </c>
      <c r="I31" s="11" t="s">
        <v>174</v>
      </c>
      <c r="J31" s="12" t="s">
        <v>175</v>
      </c>
      <c r="K31" s="13" t="s">
        <v>102</v>
      </c>
      <c r="L31" s="11" t="str">
        <f>"000057"</f>
        <v>000057</v>
      </c>
      <c r="M31" s="10">
        <v>42937</v>
      </c>
      <c r="N31" s="11" t="str">
        <f>"000085"</f>
        <v>000085</v>
      </c>
      <c r="O31" s="10">
        <v>43084</v>
      </c>
      <c r="P31" s="11" t="str">
        <f>"000086"</f>
        <v>000086</v>
      </c>
      <c r="Q31" s="10">
        <v>43119</v>
      </c>
      <c r="R31" s="11"/>
      <c r="S31" s="11" t="str">
        <f>"009501"</f>
        <v>009501</v>
      </c>
      <c r="T31" s="10">
        <v>43525</v>
      </c>
      <c r="U31" s="14">
        <v>10.10182</v>
      </c>
      <c r="V31" s="14">
        <v>0.61621999999999999</v>
      </c>
      <c r="W31" s="14">
        <v>9.4855999999999998</v>
      </c>
      <c r="X31" s="11">
        <v>371</v>
      </c>
      <c r="Y31" s="10">
        <v>43531</v>
      </c>
      <c r="Z31" s="11">
        <v>0</v>
      </c>
      <c r="AA31" s="12" t="s">
        <v>176</v>
      </c>
      <c r="AB31" s="11" t="s">
        <v>42</v>
      </c>
      <c r="AC31" s="12" t="s">
        <v>43</v>
      </c>
      <c r="AD31" s="11" t="s">
        <v>72</v>
      </c>
      <c r="AE31" s="12" t="s">
        <v>73</v>
      </c>
      <c r="AF31" s="14">
        <f t="shared" si="0"/>
        <v>0.1010182</v>
      </c>
      <c r="AG31" s="11" t="s">
        <v>46</v>
      </c>
    </row>
    <row r="32" spans="1:33" x14ac:dyDescent="0.2">
      <c r="A32" s="8">
        <v>9794</v>
      </c>
      <c r="B32" s="9" t="s">
        <v>170</v>
      </c>
      <c r="C32" s="10">
        <v>43544</v>
      </c>
      <c r="D32" s="11">
        <v>167</v>
      </c>
      <c r="E32" s="12" t="s">
        <v>34</v>
      </c>
      <c r="F32" s="12" t="s">
        <v>35</v>
      </c>
      <c r="G32" s="12" t="s">
        <v>36</v>
      </c>
      <c r="H32" s="12" t="s">
        <v>37</v>
      </c>
      <c r="I32" s="11" t="s">
        <v>177</v>
      </c>
      <c r="J32" s="12" t="s">
        <v>178</v>
      </c>
      <c r="K32" s="13" t="s">
        <v>179</v>
      </c>
      <c r="L32" s="11" t="str">
        <f>"000020"</f>
        <v>000020</v>
      </c>
      <c r="M32" s="10">
        <v>43285</v>
      </c>
      <c r="N32" s="11" t="str">
        <f>"000080"</f>
        <v>000080</v>
      </c>
      <c r="O32" s="10">
        <v>43460</v>
      </c>
      <c r="P32" s="11" t="str">
        <f>"000159"</f>
        <v>000159</v>
      </c>
      <c r="Q32" s="10">
        <v>43460</v>
      </c>
      <c r="R32" s="11"/>
      <c r="S32" s="11" t="str">
        <f>"009857"</f>
        <v>009857</v>
      </c>
      <c r="T32" s="10">
        <v>43544</v>
      </c>
      <c r="U32" s="14">
        <v>41.555399999999999</v>
      </c>
      <c r="V32" s="14">
        <v>3.9214000000000002</v>
      </c>
      <c r="W32" s="14">
        <v>37.634</v>
      </c>
      <c r="X32" s="11">
        <v>381</v>
      </c>
      <c r="Y32" s="10">
        <v>43544</v>
      </c>
      <c r="Z32" s="11">
        <v>9880866688</v>
      </c>
      <c r="AA32" s="12" t="s">
        <v>149</v>
      </c>
      <c r="AB32" s="11" t="s">
        <v>180</v>
      </c>
      <c r="AC32" s="12" t="s">
        <v>181</v>
      </c>
      <c r="AD32" s="11" t="s">
        <v>52</v>
      </c>
      <c r="AE32" s="12" t="s">
        <v>53</v>
      </c>
      <c r="AF32" s="14">
        <f t="shared" si="0"/>
        <v>0.41555399999999998</v>
      </c>
      <c r="AG32" s="11" t="s">
        <v>150</v>
      </c>
    </row>
  </sheetData>
  <sortState ref="A2:AG12362">
    <sortCondition ref="D2:D12362"/>
    <sortCondition ref="C2:C12362"/>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1st Apr 2018 31st Mar 2019</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Manjunath HL</dc:creator>
  <cp:lastModifiedBy>Manjunath HL</cp:lastModifiedBy>
  <dcterms:created xsi:type="dcterms:W3CDTF">2019-03-05T06:25:51Z</dcterms:created>
  <dcterms:modified xsi:type="dcterms:W3CDTF">2019-06-14T08:39:39Z</dcterms:modified>
</cp:coreProperties>
</file>