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Contractor Bill Paid (BR)\"/>
    </mc:Choice>
  </mc:AlternateContent>
  <bookViews>
    <workbookView xWindow="0" yWindow="0" windowWidth="15360" windowHeight="7755"/>
  </bookViews>
  <sheets>
    <sheet name="1st Apr 2018 31st Mar 2019" sheetId="1" r:id="rId1"/>
  </sheets>
  <definedNames>
    <definedName name="_xlnm._FilterDatabase" localSheetId="0" hidden="1">'1st Apr 2018 31st Mar 2019'!$A$1:$AG$1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53" i="1" l="1"/>
  <c r="S53" i="1"/>
  <c r="P53" i="1"/>
  <c r="N53" i="1"/>
  <c r="L53" i="1"/>
  <c r="AF52" i="1"/>
  <c r="S52" i="1"/>
  <c r="P52" i="1"/>
  <c r="N52" i="1"/>
  <c r="L52" i="1"/>
  <c r="AF51" i="1"/>
  <c r="S51" i="1"/>
  <c r="P51" i="1"/>
  <c r="N51" i="1"/>
  <c r="L51" i="1"/>
  <c r="AF50" i="1"/>
  <c r="S50" i="1"/>
  <c r="P50" i="1"/>
  <c r="N50" i="1"/>
  <c r="L50" i="1"/>
  <c r="AF49" i="1"/>
  <c r="S49" i="1"/>
  <c r="P49" i="1"/>
  <c r="N49" i="1"/>
  <c r="L49" i="1"/>
  <c r="AF48" i="1"/>
  <c r="S48" i="1"/>
  <c r="P48" i="1"/>
  <c r="N48" i="1"/>
  <c r="L48" i="1"/>
  <c r="AF47" i="1"/>
  <c r="S47" i="1"/>
  <c r="P47" i="1"/>
  <c r="N47" i="1"/>
  <c r="L47" i="1"/>
  <c r="AF46" i="1"/>
  <c r="S46" i="1"/>
  <c r="P46" i="1"/>
  <c r="N46" i="1"/>
  <c r="L46" i="1"/>
  <c r="AF45" i="1"/>
  <c r="S45" i="1"/>
  <c r="P45" i="1"/>
  <c r="N45" i="1"/>
  <c r="L45" i="1"/>
  <c r="AF44" i="1"/>
  <c r="S44" i="1"/>
  <c r="P44" i="1"/>
  <c r="N44" i="1"/>
  <c r="L44" i="1"/>
  <c r="AF43" i="1"/>
  <c r="S43" i="1"/>
  <c r="P43" i="1"/>
  <c r="N43" i="1"/>
  <c r="L43" i="1"/>
  <c r="AF42" i="1"/>
  <c r="S42" i="1"/>
  <c r="P42" i="1"/>
  <c r="N42" i="1"/>
  <c r="L42" i="1"/>
  <c r="AF41" i="1"/>
  <c r="S41" i="1"/>
  <c r="P41" i="1"/>
  <c r="N41" i="1"/>
  <c r="L41" i="1"/>
  <c r="AF40" i="1"/>
  <c r="S40" i="1"/>
  <c r="P40" i="1"/>
  <c r="N40" i="1"/>
  <c r="L40" i="1"/>
  <c r="AF39" i="1"/>
  <c r="S39" i="1"/>
  <c r="P39" i="1"/>
  <c r="N39" i="1"/>
  <c r="L39" i="1"/>
  <c r="AF38" i="1"/>
  <c r="S38" i="1"/>
  <c r="P38" i="1"/>
  <c r="N38" i="1"/>
  <c r="L38" i="1"/>
  <c r="AF37" i="1"/>
  <c r="S37" i="1"/>
  <c r="P37" i="1"/>
  <c r="N37" i="1"/>
  <c r="L37" i="1"/>
  <c r="AF36" i="1"/>
  <c r="S36" i="1"/>
  <c r="P36" i="1"/>
  <c r="N36" i="1"/>
  <c r="L36" i="1"/>
  <c r="AF35" i="1"/>
  <c r="S35" i="1"/>
  <c r="P35" i="1"/>
  <c r="N35" i="1"/>
  <c r="L35" i="1"/>
  <c r="AF34" i="1"/>
  <c r="S34" i="1"/>
  <c r="P34" i="1"/>
  <c r="N34" i="1"/>
  <c r="L34" i="1"/>
  <c r="AF33" i="1"/>
  <c r="S33" i="1"/>
  <c r="P33" i="1"/>
  <c r="N33" i="1"/>
  <c r="L33" i="1"/>
  <c r="AF32" i="1"/>
  <c r="S32" i="1"/>
  <c r="P32" i="1"/>
  <c r="N32" i="1"/>
  <c r="L32" i="1"/>
  <c r="AF31" i="1"/>
  <c r="S31" i="1"/>
  <c r="P31" i="1"/>
  <c r="N31" i="1"/>
  <c r="L31" i="1"/>
  <c r="AF30" i="1"/>
  <c r="S30" i="1"/>
  <c r="P30" i="1"/>
  <c r="N30" i="1"/>
  <c r="L30" i="1"/>
  <c r="AF29" i="1"/>
  <c r="S29" i="1"/>
  <c r="P29" i="1"/>
  <c r="N29" i="1"/>
  <c r="L29" i="1"/>
  <c r="AF28" i="1"/>
  <c r="S28" i="1"/>
  <c r="P28" i="1"/>
  <c r="N28" i="1"/>
  <c r="L28" i="1"/>
  <c r="AF27" i="1"/>
  <c r="S27" i="1"/>
  <c r="P27" i="1"/>
  <c r="N27" i="1"/>
  <c r="L27" i="1"/>
  <c r="AF26" i="1"/>
  <c r="S26" i="1"/>
  <c r="P26" i="1"/>
  <c r="N26" i="1"/>
  <c r="L26" i="1"/>
  <c r="AF25" i="1"/>
  <c r="S25" i="1"/>
  <c r="P25" i="1"/>
  <c r="N25" i="1"/>
  <c r="L25" i="1"/>
  <c r="AF24" i="1"/>
  <c r="S24" i="1"/>
  <c r="P24" i="1"/>
  <c r="N24" i="1"/>
  <c r="L24" i="1"/>
  <c r="AF23" i="1"/>
  <c r="S23" i="1"/>
  <c r="P23" i="1"/>
  <c r="N23" i="1"/>
  <c r="L23" i="1"/>
  <c r="AF22" i="1"/>
  <c r="S22" i="1"/>
  <c r="P22" i="1"/>
  <c r="N22" i="1"/>
  <c r="L22" i="1"/>
  <c r="AF21" i="1"/>
  <c r="S21" i="1"/>
  <c r="P21" i="1"/>
  <c r="N21" i="1"/>
  <c r="L21" i="1"/>
  <c r="AF20" i="1"/>
  <c r="S20" i="1"/>
  <c r="P20" i="1"/>
  <c r="N20" i="1"/>
  <c r="L20" i="1"/>
  <c r="AF19" i="1"/>
  <c r="S19" i="1"/>
  <c r="P19" i="1"/>
  <c r="N19" i="1"/>
  <c r="L19" i="1"/>
  <c r="S18" i="1"/>
  <c r="P18" i="1"/>
  <c r="N18" i="1"/>
  <c r="L18" i="1"/>
  <c r="S17" i="1"/>
  <c r="P17" i="1"/>
  <c r="N17" i="1"/>
  <c r="L17" i="1"/>
  <c r="S16" i="1"/>
  <c r="P16" i="1"/>
  <c r="N16" i="1"/>
  <c r="L16" i="1"/>
  <c r="S15" i="1"/>
  <c r="P15" i="1"/>
  <c r="N15" i="1"/>
  <c r="L15" i="1"/>
  <c r="S14" i="1"/>
  <c r="P14" i="1"/>
  <c r="N14" i="1"/>
  <c r="L14" i="1"/>
  <c r="S13" i="1"/>
  <c r="P13" i="1"/>
  <c r="N13" i="1"/>
  <c r="L13" i="1"/>
  <c r="S12" i="1"/>
  <c r="P12" i="1"/>
  <c r="N12" i="1"/>
  <c r="L12" i="1"/>
  <c r="S11" i="1"/>
  <c r="P11" i="1"/>
  <c r="N11" i="1"/>
  <c r="L11" i="1"/>
  <c r="S10" i="1"/>
  <c r="P10" i="1"/>
  <c r="N10" i="1"/>
  <c r="L10" i="1"/>
  <c r="S9" i="1"/>
  <c r="P9" i="1"/>
  <c r="N9" i="1"/>
  <c r="L9" i="1"/>
  <c r="S8" i="1"/>
  <c r="P8" i="1"/>
  <c r="N8" i="1"/>
  <c r="L8" i="1"/>
  <c r="S7" i="1"/>
  <c r="P7" i="1"/>
  <c r="N7" i="1"/>
  <c r="L7" i="1"/>
  <c r="S6" i="1"/>
  <c r="P6" i="1"/>
  <c r="N6" i="1"/>
  <c r="L6" i="1"/>
  <c r="S5" i="1"/>
  <c r="P5" i="1"/>
  <c r="N5" i="1"/>
  <c r="L5" i="1"/>
  <c r="S4" i="1"/>
  <c r="P4" i="1"/>
  <c r="N4" i="1"/>
  <c r="L4" i="1"/>
  <c r="S3" i="1"/>
  <c r="P3" i="1"/>
  <c r="N3" i="1"/>
  <c r="L3" i="1"/>
  <c r="S2" i="1"/>
  <c r="P2" i="1"/>
  <c r="N2" i="1"/>
  <c r="L2" i="1"/>
</calcChain>
</file>

<file path=xl/sharedStrings.xml><?xml version="1.0" encoding="utf-8"?>
<sst xmlns="http://schemas.openxmlformats.org/spreadsheetml/2006/main" count="761" uniqueCount="201">
  <si>
    <t>SL No</t>
  </si>
  <si>
    <t>Month</t>
  </si>
  <si>
    <t>Date</t>
  </si>
  <si>
    <t>Ward_No</t>
  </si>
  <si>
    <t>Ward_Name</t>
  </si>
  <si>
    <t>Sub_Division</t>
  </si>
  <si>
    <t>Division</t>
  </si>
  <si>
    <t>Zone</t>
  </si>
  <si>
    <t>Job_Code</t>
  </si>
  <si>
    <t>Job_Description</t>
  </si>
  <si>
    <t>Category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</si>
  <si>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</si>
  <si>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</si>
  <si>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</si>
  <si>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</si>
  <si>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</si>
  <si>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</si>
  <si>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</si>
  <si>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</si>
  <si>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</si>
  <si>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</si>
  <si>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</si>
  <si>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</si>
  <si>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</si>
  <si>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</si>
  <si>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</si>
  <si>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</si>
  <si>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</si>
  <si>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</si>
  <si>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</si>
  <si>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</si>
  <si>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</si>
  <si>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 xml:space="preserve">Current/Pending /Spill over </t>
  </si>
  <si>
    <t>April</t>
  </si>
  <si>
    <t>HSR Layout</t>
  </si>
  <si>
    <t>Bommana Halli</t>
  </si>
  <si>
    <t>174-16-000014</t>
  </si>
  <si>
    <t>Construction of Culverts in HSR Layout in ward no 174</t>
  </si>
  <si>
    <t>Roads &amp; Drivablility</t>
  </si>
  <si>
    <t>Nagaraj B P</t>
  </si>
  <si>
    <t>P1771</t>
  </si>
  <si>
    <t>Zone Works - POW Works</t>
  </si>
  <si>
    <t>ddo440</t>
  </si>
  <si>
    <t xml:space="preserve"> Assistant Executive Engineer Bommanahalli Sub Division Bomanahalli Zone</t>
  </si>
  <si>
    <t>Pending</t>
  </si>
  <si>
    <t>174-13-000022</t>
  </si>
  <si>
    <t>Improvements to drain and providing covering slab between 22nd cross to 25th cross in 3rd sector of HSR Layout</t>
  </si>
  <si>
    <t>Footpaths &amp; Walkability</t>
  </si>
  <si>
    <t>Sri.B.Chandrashekar</t>
  </si>
  <si>
    <t>P2363</t>
  </si>
  <si>
    <t>Special development works in Ward No. 65  152  174  28  126  107  102  86  38  45  49</t>
  </si>
  <si>
    <t>May</t>
  </si>
  <si>
    <t>174-16-000007</t>
  </si>
  <si>
    <t>Improvements to road and drain at Shobha Deffodil road Somasundra palya in ward no 174</t>
  </si>
  <si>
    <t>K C KRISHNAREDDY</t>
  </si>
  <si>
    <t>ddo438</t>
  </si>
  <si>
    <t xml:space="preserve"> Executive Engineer Project Division Bomanahalli Zone</t>
  </si>
  <si>
    <t>174-16-000008</t>
  </si>
  <si>
    <t>Improvements to road and drain at 17th main 3rd Sector in ward no 174</t>
  </si>
  <si>
    <t>K C Krishna Reddy</t>
  </si>
  <si>
    <t>174-16-000006</t>
  </si>
  <si>
    <t>Improvements to road and drain at 11th cross 24th main ( Bank of Baroda) in ward no 174</t>
  </si>
  <si>
    <t>174-16-000004</t>
  </si>
  <si>
    <t>De-silting of Exsiting drain in all sector of HSR Layout ward no 174</t>
  </si>
  <si>
    <t>174-16-000015</t>
  </si>
  <si>
    <t>Improvements to road and drain at 23rd cross 5th main in ward no 174</t>
  </si>
  <si>
    <t>K C KRISHNA REDD</t>
  </si>
  <si>
    <t>June</t>
  </si>
  <si>
    <t>174-18-000011</t>
  </si>
  <si>
    <t>Improvements to main and cross roads in 7th Sector at ward no 174</t>
  </si>
  <si>
    <t>KRIDL</t>
  </si>
  <si>
    <t>P3111</t>
  </si>
  <si>
    <t>State Finance Commission Untied Grant Works</t>
  </si>
  <si>
    <t>174-18-000006</t>
  </si>
  <si>
    <t>Improvements to main and cross roads in Ibbaluru villge at ward no 174</t>
  </si>
  <si>
    <t>174-17-000088</t>
  </si>
  <si>
    <t>Construction and Remodeling of SWD 27th main Backside of Masjid in HSR Layout 1st Sector (Agara Village) W N 174 of Bommanahalli Constituency</t>
  </si>
  <si>
    <t>Other Ward Works</t>
  </si>
  <si>
    <t>M/s ESS ESS Builders &amp; Consultants</t>
  </si>
  <si>
    <t>P3110</t>
  </si>
  <si>
    <t>14th Finance Commission Grant Works</t>
  </si>
  <si>
    <t>ddo313</t>
  </si>
  <si>
    <t xml:space="preserve"> Chief Engineer SWD Central Zone</t>
  </si>
  <si>
    <t>174-14-000010</t>
  </si>
  <si>
    <t>CONSTRUCTION OF CULVERTS AT ELLUKUNTE MAIN ROAD IN WARD NO 174 HSR LAYOUT</t>
  </si>
  <si>
    <t>SAMPANGI B</t>
  </si>
  <si>
    <t>July</t>
  </si>
  <si>
    <t>174-17-000001</t>
  </si>
  <si>
    <t>Providing Asphalting and Cement concrete drain from Rajeevgandhi nagar (behind jaguar show room) to 15th cross in ward 174 HSR layout</t>
  </si>
  <si>
    <t>P0190</t>
  </si>
  <si>
    <t>Works sanctioned by Hon Mayor</t>
  </si>
  <si>
    <t>174-18-000022</t>
  </si>
  <si>
    <t>Construction of RCC box drain inside Govt.PU college premises in HSR layout sector -1 in ward No.174</t>
  </si>
  <si>
    <t>B G Venugopal</t>
  </si>
  <si>
    <t>P3106</t>
  </si>
  <si>
    <t>Nagarothana Works</t>
  </si>
  <si>
    <t>Spill Over</t>
  </si>
  <si>
    <t>August</t>
  </si>
  <si>
    <t>174-18-000010</t>
  </si>
  <si>
    <t>Improvements to main and cross roads in 4th Sector at ward no 174</t>
  </si>
  <si>
    <t>R-174-18-000001</t>
  </si>
  <si>
    <t>Construction of new drains and paving concrete lanes of Ibbaluru village</t>
  </si>
  <si>
    <t>P2650</t>
  </si>
  <si>
    <t>Reserve fund for Spillover Works</t>
  </si>
  <si>
    <t>174-16-000002</t>
  </si>
  <si>
    <t>Annual Operation and Maintenance of street lighting system in HSR layout Sector-2 sector-3 sector-7 Rajeev Gandhi nagar (Gunduthopu) and associted area of ward no-174 Package B1B of Bommanahalli zone.</t>
  </si>
  <si>
    <t>M/s. Sree Manjunatha Electricals</t>
  </si>
  <si>
    <t>P0300</t>
  </si>
  <si>
    <t>M and R to Street Lights - Replacement of Burnt Bulbs etc. (Package)</t>
  </si>
  <si>
    <t>ddo439</t>
  </si>
  <si>
    <t xml:space="preserve"> Executive Engineer Electrical Division Bomanahalli Zone</t>
  </si>
  <si>
    <t>174-16-000001</t>
  </si>
  <si>
    <t>Annual Operation and Maintenance of street lighting system in HSR layout Sector-1 sector-4 sector-6 Agara Ibbaluru and associted area of ward no ward no-174 Package B1A of Bommanahalli zone.</t>
  </si>
  <si>
    <t>Ms/ Sri Krishna Electricals</t>
  </si>
  <si>
    <t>September</t>
  </si>
  <si>
    <t>174-16-000040</t>
  </si>
  <si>
    <t>Improvements to Road Paving Concrete Cross Roads in Ibblur Village at Ward No 174</t>
  </si>
  <si>
    <t>K Sharath</t>
  </si>
  <si>
    <t>P1878</t>
  </si>
  <si>
    <t>18per - Works (Bhagyajyothi, Sooru / Neeru Yojane and General) (54 Lakhs / New Wards)</t>
  </si>
  <si>
    <t>174-16-000041</t>
  </si>
  <si>
    <t>Improvements to Road Paving Concrete Cross Roads in Ibblur Village 1st Cross Roads at Ward No 174</t>
  </si>
  <si>
    <t>174-13-000056</t>
  </si>
  <si>
    <t>Providing Improvements and Asphalting to the roads at HSR Layout main road and cross roads in ward no174 HSR layout</t>
  </si>
  <si>
    <t>P2434</t>
  </si>
  <si>
    <t>Development works for Bangalore City</t>
  </si>
  <si>
    <t>174-14-000022</t>
  </si>
  <si>
    <t>PROVIDING ASPHALTING IN SELECTED REACHES OF 6TH SECTOR WARD NO 174 HSR LAYOUT</t>
  </si>
  <si>
    <t>V L Muniraju</t>
  </si>
  <si>
    <t>174-17-000074</t>
  </si>
  <si>
    <t xml:space="preserve">Providing drinking water works in Ward No 174 Bommanahalli Division </t>
  </si>
  <si>
    <t>Drinking Water</t>
  </si>
  <si>
    <t>K C KRISHNA REDDY</t>
  </si>
  <si>
    <t>174-16-000011</t>
  </si>
  <si>
    <t>Improvements to road and drain at Agara Village in ward no 174</t>
  </si>
  <si>
    <t>174-16-000013</t>
  </si>
  <si>
    <t>Improvements to road and drain at 19th cross 27th main in ward no 174</t>
  </si>
  <si>
    <t xml:space="preserve">K C KRISHNA REDDY </t>
  </si>
  <si>
    <t>174-16-000019</t>
  </si>
  <si>
    <t>Providing water through tankers to Rajeevgandhi nagara Gundthop in ward no 174</t>
  </si>
  <si>
    <t>Sri.Ramu</t>
  </si>
  <si>
    <t>P1802</t>
  </si>
  <si>
    <t>Water Supply New Areas</t>
  </si>
  <si>
    <t>October</t>
  </si>
  <si>
    <t>174-17-000087</t>
  </si>
  <si>
    <t>Construction of RCC Storm Water Drain 27th main to 24th main in HSR layout 2nd Sector W N 174 of Bommanahalli Constituency</t>
  </si>
  <si>
    <t>Storm Water Drains</t>
  </si>
  <si>
    <t>M/s KRIDL</t>
  </si>
  <si>
    <t>Current</t>
  </si>
  <si>
    <t>174-18-000025</t>
  </si>
  <si>
    <t>Construction of RCC box drain all along the service road and Improvements to SWD in HSR Layout in ward No. 174</t>
  </si>
  <si>
    <t>Sri. H Srinivas Reddy</t>
  </si>
  <si>
    <t>174-18-000021</t>
  </si>
  <si>
    <t>Construction of RCC box drain from somasundarpalya lake on 24th main HSR layout in ward No.174</t>
  </si>
  <si>
    <t>Lakes</t>
  </si>
  <si>
    <t>174-18-000023</t>
  </si>
  <si>
    <t>Remodeling of SWD from Ibbalur lake to join bellandur lake in ward No.174. (balance work)</t>
  </si>
  <si>
    <t>Sri B G Venugopal</t>
  </si>
  <si>
    <t>174-18-000024</t>
  </si>
  <si>
    <t>Widening of existing drain from Salarpuria Apartment upto IAS officers layout in HSR Layout ward no. 174 in Bommanahalli zone</t>
  </si>
  <si>
    <t>Sri.  G Chandrashekar</t>
  </si>
  <si>
    <t>Sri S Prasannakumar</t>
  </si>
  <si>
    <t>November</t>
  </si>
  <si>
    <t>174-18-000043</t>
  </si>
  <si>
    <t xml:space="preserve">Construction of allied works for Indira Canteen at Ibbaluru in ward no.174 HSR Layout </t>
  </si>
  <si>
    <t>Indira Canteen</t>
  </si>
  <si>
    <t>December</t>
  </si>
  <si>
    <t>174-17-000076</t>
  </si>
  <si>
    <t>Providing CC Camera at Garbage Block Spots in ward no 174</t>
  </si>
  <si>
    <t>Crime &amp; Safety</t>
  </si>
  <si>
    <t>SHREE VINAYAKA ELECTRICALS</t>
  </si>
  <si>
    <t>174-16-000020</t>
  </si>
  <si>
    <t>Providing water through tankers to Ibbaluru Agara Parngipalya and Ellukunte in ward no 174</t>
  </si>
  <si>
    <t>Water &amp; Sanitary</t>
  </si>
  <si>
    <t>Sri.Srinivasa R</t>
  </si>
  <si>
    <t>January</t>
  </si>
  <si>
    <t>174-18-000045</t>
  </si>
  <si>
    <t>Construction of RCC drain and remodelling of SWD in HSR layout in ward no 174 (Flood Damage Correction works) in Bommanahalli Zone.</t>
  </si>
  <si>
    <t>G M Ravindra</t>
  </si>
  <si>
    <t>P3158</t>
  </si>
  <si>
    <t>SIP Infrastructure Project works</t>
  </si>
  <si>
    <t>M/s ESS ESS Builders</t>
  </si>
  <si>
    <t>174-17-000031</t>
  </si>
  <si>
    <t xml:space="preserve">Improvement to drain 25th cross, 17th main to 18th main at 2nd sector HSR layout </t>
  </si>
  <si>
    <t>C G CHANDRAPPA</t>
  </si>
  <si>
    <t>174-17-000032</t>
  </si>
  <si>
    <t xml:space="preserve">Improvement to drain 14th cross, 15th main to 15th A main road at 4th sector HSR Layout </t>
  </si>
  <si>
    <t>174-17-000028</t>
  </si>
  <si>
    <t xml:space="preserve">Improvement to road, drain and culverts at 16th A cross 5th main at 6th sector HSR Layout </t>
  </si>
  <si>
    <t>174-17-000030</t>
  </si>
  <si>
    <t xml:space="preserve">Improvement to road, drain and culverts at 18th cross, 9th main to 14th main road at 6th sector HSR Layout </t>
  </si>
  <si>
    <t>February</t>
  </si>
  <si>
    <t>174-17-000080</t>
  </si>
  <si>
    <t>Improvements to drain in HSR Layout 3rd sector of ward no 174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</si>
  <si>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</si>
  <si>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</si>
  <si>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174-17-000079</t>
  </si>
  <si>
    <t>Improvements to drain in HSR Layout 2nd sector of ward no 174</t>
  </si>
  <si>
    <t>March</t>
  </si>
  <si>
    <t>174-17-000078</t>
  </si>
  <si>
    <t>Improvements to drain in HSR Layout 1st sector in ward no 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</si>
</sst>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3"/>
  <sheetViews>
    <sheetView tabSelected="1" workbookViewId="0">
      <pane ySplit="1" topLeftCell="A2" activePane="bottomLeft" state="frozen"/>
      <selection activeCell="H1" sqref="H1"/>
      <selection pane="bottomLeft" activeCell="A2" sqref="A2:XFD53"/>
    </sheetView>
  </sheetViews>
  <sheetFormatPr defaultRowHeight="12.75" x14ac:dyDescent="0.2"/>
  <cols>
    <col min="1" max="1" width="6" style="5" bestFit="1" customWidth="1"/>
    <col min="2" max="2" width="9.140625" style="5" bestFit="1" customWidth="1"/>
    <col min="3" max="3" width="9.5703125" style="5" customWidth="1"/>
    <col min="4" max="4" width="8.42578125" style="5" customWidth="1"/>
    <col min="5" max="5" width="16.28515625" style="6" bestFit="1" customWidth="1"/>
    <col min="6" max="6" width="10.7109375" style="6" bestFit="1" customWidth="1"/>
    <col min="7" max="8" width="9.140625" style="6" bestFit="1" customWidth="1"/>
    <col min="9" max="9" width="14.85546875" style="5" customWidth="1"/>
    <col min="10" max="10" width="14.140625" style="4" customWidth="1"/>
    <col min="11" max="11" width="22.85546875" style="5" bestFit="1" customWidth="1"/>
    <col min="12" max="12" width="7.140625" style="5" customWidth="1"/>
    <col min="13" max="13" width="9.7109375" style="5" customWidth="1"/>
    <col min="14" max="14" width="11.85546875" style="5" customWidth="1"/>
    <col min="15" max="15" width="9.42578125" style="5" customWidth="1"/>
    <col min="16" max="16" width="10.28515625" style="5" customWidth="1"/>
    <col min="17" max="17" width="10" style="5" customWidth="1"/>
    <col min="18" max="18" width="7.85546875" style="5" customWidth="1"/>
    <col min="19" max="20" width="9.5703125" style="5" bestFit="1" customWidth="1"/>
    <col min="21" max="21" width="12.7109375" style="7" customWidth="1"/>
    <col min="22" max="22" width="9" style="7" bestFit="1" customWidth="1"/>
    <col min="23" max="23" width="12.140625" style="7" customWidth="1"/>
    <col min="24" max="24" width="6.140625" style="5" customWidth="1"/>
    <col min="25" max="25" width="9.5703125" style="5" bestFit="1" customWidth="1"/>
    <col min="26" max="26" width="11.7109375" style="5" customWidth="1"/>
    <col min="27" max="27" width="18.42578125" style="4" customWidth="1"/>
    <col min="28" max="28" width="7.85546875" style="5" customWidth="1"/>
    <col min="29" max="29" width="16.85546875" style="4" customWidth="1"/>
    <col min="30" max="30" width="9.140625" style="5" customWidth="1"/>
    <col min="31" max="31" width="14.140625" style="4" customWidth="1"/>
    <col min="32" max="32" width="11.42578125" style="5" bestFit="1" customWidth="1"/>
    <col min="33" max="33" width="14" style="5" customWidth="1"/>
    <col min="34" max="16384" width="9.140625" style="4"/>
  </cols>
  <sheetData>
    <row r="1" spans="1:33" s="3" customFormat="1" ht="24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1" t="s">
        <v>24</v>
      </c>
      <c r="Z1" s="2" t="s">
        <v>25</v>
      </c>
      <c r="AA1" s="1" t="s">
        <v>26</v>
      </c>
      <c r="AB1" s="1" t="s">
        <v>27</v>
      </c>
      <c r="AC1" s="1" t="s">
        <v>28</v>
      </c>
      <c r="AD1" s="2" t="s">
        <v>29</v>
      </c>
      <c r="AE1" s="1" t="s">
        <v>30</v>
      </c>
      <c r="AF1" s="2" t="s">
        <v>31</v>
      </c>
      <c r="AG1" s="2" t="s">
        <v>32</v>
      </c>
    </row>
    <row r="2" spans="1:33" x14ac:dyDescent="0.2">
      <c r="A2" s="8">
        <v>451</v>
      </c>
      <c r="B2" s="9" t="s">
        <v>33</v>
      </c>
      <c r="C2" s="10">
        <v>43200</v>
      </c>
      <c r="D2" s="11">
        <v>174</v>
      </c>
      <c r="E2" s="12" t="s">
        <v>34</v>
      </c>
      <c r="F2" s="12" t="s">
        <v>35</v>
      </c>
      <c r="G2" s="12" t="s">
        <v>35</v>
      </c>
      <c r="H2" s="12" t="s">
        <v>35</v>
      </c>
      <c r="I2" s="11" t="s">
        <v>36</v>
      </c>
      <c r="J2" s="12" t="s">
        <v>37</v>
      </c>
      <c r="K2" s="13" t="s">
        <v>38</v>
      </c>
      <c r="L2" s="11" t="str">
        <f>"000078"</f>
        <v>000078</v>
      </c>
      <c r="M2" s="10">
        <v>42431</v>
      </c>
      <c r="N2" s="11" t="str">
        <f>"000007"</f>
        <v>000007</v>
      </c>
      <c r="O2" s="10">
        <v>42486</v>
      </c>
      <c r="P2" s="11" t="str">
        <f>"000079"</f>
        <v>000079</v>
      </c>
      <c r="Q2" s="10">
        <v>42545</v>
      </c>
      <c r="R2" s="11">
        <v>16</v>
      </c>
      <c r="S2" s="11" t="str">
        <f>"011015"</f>
        <v>011015</v>
      </c>
      <c r="T2" s="10">
        <v>43187</v>
      </c>
      <c r="U2" s="14">
        <v>8.7972400000000004</v>
      </c>
      <c r="V2" s="14">
        <v>1.1398900000000001</v>
      </c>
      <c r="W2" s="14">
        <v>7.6573500000000001</v>
      </c>
      <c r="X2" s="11">
        <v>9</v>
      </c>
      <c r="Y2" s="10">
        <v>43200</v>
      </c>
      <c r="Z2" s="11">
        <v>9900094445</v>
      </c>
      <c r="AA2" s="12" t="s">
        <v>39</v>
      </c>
      <c r="AB2" s="11" t="s">
        <v>40</v>
      </c>
      <c r="AC2" s="12" t="s">
        <v>41</v>
      </c>
      <c r="AD2" s="11" t="s">
        <v>42</v>
      </c>
      <c r="AE2" s="12" t="s">
        <v>43</v>
      </c>
      <c r="AF2" s="14">
        <v>8.7972400000000006E-2</v>
      </c>
      <c r="AG2" s="11" t="s">
        <v>44</v>
      </c>
    </row>
    <row r="3" spans="1:33" x14ac:dyDescent="0.2">
      <c r="A3" s="8">
        <v>452</v>
      </c>
      <c r="B3" s="9" t="s">
        <v>33</v>
      </c>
      <c r="C3" s="10">
        <v>43200</v>
      </c>
      <c r="D3" s="11">
        <v>174</v>
      </c>
      <c r="E3" s="12" t="s">
        <v>34</v>
      </c>
      <c r="F3" s="12" t="s">
        <v>35</v>
      </c>
      <c r="G3" s="12" t="s">
        <v>35</v>
      </c>
      <c r="H3" s="12" t="s">
        <v>35</v>
      </c>
      <c r="I3" s="11" t="s">
        <v>45</v>
      </c>
      <c r="J3" s="12" t="s">
        <v>46</v>
      </c>
      <c r="K3" s="13" t="s">
        <v>47</v>
      </c>
      <c r="L3" s="11" t="str">
        <f>"000409"</f>
        <v>000409</v>
      </c>
      <c r="M3" s="10">
        <v>42887</v>
      </c>
      <c r="N3" s="11" t="str">
        <f>"000032"</f>
        <v>000032</v>
      </c>
      <c r="O3" s="10">
        <v>42580</v>
      </c>
      <c r="P3" s="11" t="str">
        <f>"000153"</f>
        <v>000153</v>
      </c>
      <c r="Q3" s="10">
        <v>42580</v>
      </c>
      <c r="R3" s="11">
        <v>13</v>
      </c>
      <c r="S3" s="11" t="str">
        <f>"011029"</f>
        <v>011029</v>
      </c>
      <c r="T3" s="10">
        <v>43187</v>
      </c>
      <c r="U3" s="14">
        <v>20.281669999999998</v>
      </c>
      <c r="V3" s="14">
        <v>2.9853000000000001</v>
      </c>
      <c r="W3" s="14">
        <v>17.29637</v>
      </c>
      <c r="X3" s="11">
        <v>9</v>
      </c>
      <c r="Y3" s="10">
        <v>43200</v>
      </c>
      <c r="Z3" s="11">
        <v>9980211136</v>
      </c>
      <c r="AA3" s="12" t="s">
        <v>48</v>
      </c>
      <c r="AB3" s="11" t="s">
        <v>49</v>
      </c>
      <c r="AC3" s="12" t="s">
        <v>50</v>
      </c>
      <c r="AD3" s="11" t="s">
        <v>42</v>
      </c>
      <c r="AE3" s="12" t="s">
        <v>43</v>
      </c>
      <c r="AF3" s="14">
        <v>0.20281669999999999</v>
      </c>
      <c r="AG3" s="11" t="s">
        <v>44</v>
      </c>
    </row>
    <row r="4" spans="1:33" x14ac:dyDescent="0.2">
      <c r="A4" s="8">
        <v>1253</v>
      </c>
      <c r="B4" s="9" t="s">
        <v>51</v>
      </c>
      <c r="C4" s="10">
        <v>43238</v>
      </c>
      <c r="D4" s="11">
        <v>174</v>
      </c>
      <c r="E4" s="12" t="s">
        <v>34</v>
      </c>
      <c r="F4" s="12" t="s">
        <v>35</v>
      </c>
      <c r="G4" s="12" t="s">
        <v>35</v>
      </c>
      <c r="H4" s="12" t="s">
        <v>35</v>
      </c>
      <c r="I4" s="11" t="s">
        <v>52</v>
      </c>
      <c r="J4" s="12" t="s">
        <v>53</v>
      </c>
      <c r="K4" s="13" t="s">
        <v>38</v>
      </c>
      <c r="L4" s="11" t="str">
        <f>"000006"</f>
        <v>000006</v>
      </c>
      <c r="M4" s="10">
        <v>42461</v>
      </c>
      <c r="N4" s="11" t="str">
        <f>"000"</f>
        <v>000</v>
      </c>
      <c r="O4" s="10">
        <v>30</v>
      </c>
      <c r="P4" s="11" t="str">
        <f>"000047"</f>
        <v>000047</v>
      </c>
      <c r="Q4" s="10">
        <v>42611</v>
      </c>
      <c r="R4" s="11">
        <v>16</v>
      </c>
      <c r="S4" s="11" t="str">
        <f>"001428"</f>
        <v>001428</v>
      </c>
      <c r="T4" s="10">
        <v>43236</v>
      </c>
      <c r="U4" s="14">
        <v>9.8192799999999991</v>
      </c>
      <c r="V4" s="14">
        <v>1.3275999999999999</v>
      </c>
      <c r="W4" s="14">
        <v>8.4916800000000006</v>
      </c>
      <c r="X4" s="11">
        <v>52</v>
      </c>
      <c r="Y4" s="10">
        <v>43238</v>
      </c>
      <c r="Z4" s="11">
        <v>9844021711</v>
      </c>
      <c r="AA4" s="12" t="s">
        <v>54</v>
      </c>
      <c r="AB4" s="11" t="s">
        <v>40</v>
      </c>
      <c r="AC4" s="12" t="s">
        <v>41</v>
      </c>
      <c r="AD4" s="11" t="s">
        <v>55</v>
      </c>
      <c r="AE4" s="12" t="s">
        <v>56</v>
      </c>
      <c r="AF4" s="14">
        <v>9.8192799999999997E-2</v>
      </c>
      <c r="AG4" s="11" t="s">
        <v>44</v>
      </c>
    </row>
    <row r="5" spans="1:33" x14ac:dyDescent="0.2">
      <c r="A5" s="8">
        <v>1254</v>
      </c>
      <c r="B5" s="9" t="s">
        <v>51</v>
      </c>
      <c r="C5" s="10">
        <v>43238</v>
      </c>
      <c r="D5" s="11">
        <v>174</v>
      </c>
      <c r="E5" s="12" t="s">
        <v>34</v>
      </c>
      <c r="F5" s="12" t="s">
        <v>35</v>
      </c>
      <c r="G5" s="12" t="s">
        <v>35</v>
      </c>
      <c r="H5" s="12" t="s">
        <v>35</v>
      </c>
      <c r="I5" s="11" t="s">
        <v>57</v>
      </c>
      <c r="J5" s="12" t="s">
        <v>58</v>
      </c>
      <c r="K5" s="13" t="s">
        <v>38</v>
      </c>
      <c r="L5" s="11" t="str">
        <f>"0000"</f>
        <v>0000</v>
      </c>
      <c r="M5" s="10">
        <v>7</v>
      </c>
      <c r="N5" s="11" t="str">
        <f>"000033"</f>
        <v>000033</v>
      </c>
      <c r="O5" s="10">
        <v>42551</v>
      </c>
      <c r="P5" s="11" t="str">
        <f>"000048"</f>
        <v>000048</v>
      </c>
      <c r="Q5" s="10">
        <v>42611</v>
      </c>
      <c r="R5" s="11">
        <v>16</v>
      </c>
      <c r="S5" s="11" t="str">
        <f>"001429"</f>
        <v>001429</v>
      </c>
      <c r="T5" s="10">
        <v>43236</v>
      </c>
      <c r="U5" s="14">
        <v>19.18233</v>
      </c>
      <c r="V5" s="14">
        <v>2.49763</v>
      </c>
      <c r="W5" s="14">
        <v>16.684699999999999</v>
      </c>
      <c r="X5" s="11">
        <v>52</v>
      </c>
      <c r="Y5" s="10">
        <v>43238</v>
      </c>
      <c r="Z5" s="11">
        <v>9844021711</v>
      </c>
      <c r="AA5" s="12" t="s">
        <v>59</v>
      </c>
      <c r="AB5" s="11" t="s">
        <v>40</v>
      </c>
      <c r="AC5" s="12" t="s">
        <v>41</v>
      </c>
      <c r="AD5" s="11" t="s">
        <v>55</v>
      </c>
      <c r="AE5" s="12" t="s">
        <v>56</v>
      </c>
      <c r="AF5" s="14">
        <v>0.1918233</v>
      </c>
      <c r="AG5" s="11" t="s">
        <v>44</v>
      </c>
    </row>
    <row r="6" spans="1:33" x14ac:dyDescent="0.2">
      <c r="A6" s="8">
        <v>1255</v>
      </c>
      <c r="B6" s="9" t="s">
        <v>51</v>
      </c>
      <c r="C6" s="10">
        <v>43238</v>
      </c>
      <c r="D6" s="11">
        <v>174</v>
      </c>
      <c r="E6" s="12" t="s">
        <v>34</v>
      </c>
      <c r="F6" s="12" t="s">
        <v>35</v>
      </c>
      <c r="G6" s="12" t="s">
        <v>35</v>
      </c>
      <c r="H6" s="12" t="s">
        <v>35</v>
      </c>
      <c r="I6" s="11" t="s">
        <v>60</v>
      </c>
      <c r="J6" s="12" t="s">
        <v>61</v>
      </c>
      <c r="K6" s="13" t="s">
        <v>38</v>
      </c>
      <c r="L6" s="11" t="str">
        <f>"000005"</f>
        <v>000005</v>
      </c>
      <c r="M6" s="10">
        <v>42478</v>
      </c>
      <c r="N6" s="11" t="str">
        <f>"000"</f>
        <v>000</v>
      </c>
      <c r="O6" s="10">
        <v>31</v>
      </c>
      <c r="P6" s="11" t="str">
        <f>"000052"</f>
        <v>000052</v>
      </c>
      <c r="Q6" s="10">
        <v>42611</v>
      </c>
      <c r="R6" s="11">
        <v>16</v>
      </c>
      <c r="S6" s="11" t="str">
        <f>"001430"</f>
        <v>001430</v>
      </c>
      <c r="T6" s="10">
        <v>43236</v>
      </c>
      <c r="U6" s="14">
        <v>11.72073</v>
      </c>
      <c r="V6" s="14">
        <v>1.5846899999999999</v>
      </c>
      <c r="W6" s="14">
        <v>10.136039999999999</v>
      </c>
      <c r="X6" s="11">
        <v>52</v>
      </c>
      <c r="Y6" s="10">
        <v>43238</v>
      </c>
      <c r="Z6" s="11">
        <v>9844021711</v>
      </c>
      <c r="AA6" s="12" t="s">
        <v>54</v>
      </c>
      <c r="AB6" s="11" t="s">
        <v>40</v>
      </c>
      <c r="AC6" s="12" t="s">
        <v>41</v>
      </c>
      <c r="AD6" s="11" t="s">
        <v>55</v>
      </c>
      <c r="AE6" s="12" t="s">
        <v>56</v>
      </c>
      <c r="AF6" s="14">
        <v>0.1172073</v>
      </c>
      <c r="AG6" s="11" t="s">
        <v>44</v>
      </c>
    </row>
    <row r="7" spans="1:33" x14ac:dyDescent="0.2">
      <c r="A7" s="8">
        <v>1256</v>
      </c>
      <c r="B7" s="9" t="s">
        <v>51</v>
      </c>
      <c r="C7" s="10">
        <v>43238</v>
      </c>
      <c r="D7" s="11">
        <v>174</v>
      </c>
      <c r="E7" s="12" t="s">
        <v>34</v>
      </c>
      <c r="F7" s="12" t="s">
        <v>35</v>
      </c>
      <c r="G7" s="12" t="s">
        <v>35</v>
      </c>
      <c r="H7" s="12" t="s">
        <v>35</v>
      </c>
      <c r="I7" s="11" t="s">
        <v>62</v>
      </c>
      <c r="J7" s="12" t="s">
        <v>63</v>
      </c>
      <c r="K7" s="13" t="s">
        <v>47</v>
      </c>
      <c r="L7" s="11" t="str">
        <f>"00009A"</f>
        <v>00009A</v>
      </c>
      <c r="M7" s="10">
        <v>42478</v>
      </c>
      <c r="N7" s="11" t="str">
        <f>"000063"</f>
        <v>000063</v>
      </c>
      <c r="O7" s="10">
        <v>42612</v>
      </c>
      <c r="P7" s="11" t="str">
        <f>"000229"</f>
        <v>000229</v>
      </c>
      <c r="Q7" s="10">
        <v>42612</v>
      </c>
      <c r="R7" s="11">
        <v>16</v>
      </c>
      <c r="S7" s="11" t="str">
        <f>"001447"</f>
        <v>001447</v>
      </c>
      <c r="T7" s="10">
        <v>43236</v>
      </c>
      <c r="U7" s="14">
        <v>10.32626</v>
      </c>
      <c r="V7" s="14">
        <v>1.20689</v>
      </c>
      <c r="W7" s="14">
        <v>9.11937</v>
      </c>
      <c r="X7" s="11">
        <v>52</v>
      </c>
      <c r="Y7" s="10">
        <v>43238</v>
      </c>
      <c r="Z7" s="11">
        <v>9980211136</v>
      </c>
      <c r="AA7" s="12" t="s">
        <v>48</v>
      </c>
      <c r="AB7" s="11" t="s">
        <v>40</v>
      </c>
      <c r="AC7" s="12" t="s">
        <v>41</v>
      </c>
      <c r="AD7" s="11" t="s">
        <v>42</v>
      </c>
      <c r="AE7" s="12" t="s">
        <v>43</v>
      </c>
      <c r="AF7" s="14">
        <v>0.1032626</v>
      </c>
      <c r="AG7" s="11" t="s">
        <v>44</v>
      </c>
    </row>
    <row r="8" spans="1:33" x14ac:dyDescent="0.2">
      <c r="A8" s="8">
        <v>1257</v>
      </c>
      <c r="B8" s="9" t="s">
        <v>51</v>
      </c>
      <c r="C8" s="10">
        <v>43238</v>
      </c>
      <c r="D8" s="11">
        <v>174</v>
      </c>
      <c r="E8" s="12" t="s">
        <v>34</v>
      </c>
      <c r="F8" s="12" t="s">
        <v>35</v>
      </c>
      <c r="G8" s="12" t="s">
        <v>35</v>
      </c>
      <c r="H8" s="12" t="s">
        <v>35</v>
      </c>
      <c r="I8" s="11" t="s">
        <v>64</v>
      </c>
      <c r="J8" s="12" t="s">
        <v>65</v>
      </c>
      <c r="K8" s="13" t="s">
        <v>38</v>
      </c>
      <c r="L8" s="11" t="str">
        <f>"000"</f>
        <v>000</v>
      </c>
      <c r="M8" s="10">
        <v>1</v>
      </c>
      <c r="N8" s="11" t="str">
        <f>"000028"</f>
        <v>000028</v>
      </c>
      <c r="O8" s="10">
        <v>42551</v>
      </c>
      <c r="P8" s="11" t="str">
        <f>"000050"</f>
        <v>000050</v>
      </c>
      <c r="Q8" s="10">
        <v>42611</v>
      </c>
      <c r="R8" s="11">
        <v>16</v>
      </c>
      <c r="S8" s="11" t="str">
        <f>"001489"</f>
        <v>001489</v>
      </c>
      <c r="T8" s="10">
        <v>43236</v>
      </c>
      <c r="U8" s="14">
        <v>14.501580000000001</v>
      </c>
      <c r="V8" s="14">
        <v>1.88818</v>
      </c>
      <c r="W8" s="14">
        <v>12.6134</v>
      </c>
      <c r="X8" s="11">
        <v>52</v>
      </c>
      <c r="Y8" s="10">
        <v>43238</v>
      </c>
      <c r="Z8" s="11">
        <v>9844021711</v>
      </c>
      <c r="AA8" s="12" t="s">
        <v>66</v>
      </c>
      <c r="AB8" s="11" t="s">
        <v>40</v>
      </c>
      <c r="AC8" s="12" t="s">
        <v>41</v>
      </c>
      <c r="AD8" s="11" t="s">
        <v>55</v>
      </c>
      <c r="AE8" s="12" t="s">
        <v>56</v>
      </c>
      <c r="AF8" s="14">
        <v>0.1450158</v>
      </c>
      <c r="AG8" s="11" t="s">
        <v>44</v>
      </c>
    </row>
    <row r="9" spans="1:33" x14ac:dyDescent="0.2">
      <c r="A9" s="8">
        <v>1911</v>
      </c>
      <c r="B9" s="9" t="s">
        <v>67</v>
      </c>
      <c r="C9" s="10">
        <v>43257</v>
      </c>
      <c r="D9" s="11">
        <v>174</v>
      </c>
      <c r="E9" s="12" t="s">
        <v>34</v>
      </c>
      <c r="F9" s="12" t="s">
        <v>35</v>
      </c>
      <c r="G9" s="12" t="s">
        <v>35</v>
      </c>
      <c r="H9" s="12" t="s">
        <v>35</v>
      </c>
      <c r="I9" s="11" t="s">
        <v>68</v>
      </c>
      <c r="J9" s="12" t="s">
        <v>69</v>
      </c>
      <c r="K9" s="13" t="s">
        <v>38</v>
      </c>
      <c r="L9" s="11" t="str">
        <f>"000133"</f>
        <v>000133</v>
      </c>
      <c r="M9" s="10">
        <v>43152</v>
      </c>
      <c r="N9" s="11" t="str">
        <f>"000035"</f>
        <v>000035</v>
      </c>
      <c r="O9" s="10">
        <v>43179</v>
      </c>
      <c r="P9" s="11" t="str">
        <f>"000062"</f>
        <v>000062</v>
      </c>
      <c r="Q9" s="10">
        <v>43179</v>
      </c>
      <c r="R9" s="11">
        <v>18</v>
      </c>
      <c r="S9" s="11" t="str">
        <f>"001775"</f>
        <v>001775</v>
      </c>
      <c r="T9" s="10">
        <v>43243</v>
      </c>
      <c r="U9" s="14">
        <v>49.864190000000001</v>
      </c>
      <c r="V9" s="14">
        <v>5.6579499999999996</v>
      </c>
      <c r="W9" s="14">
        <v>44.206240000000001</v>
      </c>
      <c r="X9" s="11">
        <v>73</v>
      </c>
      <c r="Y9" s="10">
        <v>43257</v>
      </c>
      <c r="Z9" s="11">
        <v>9999999999</v>
      </c>
      <c r="AA9" s="12" t="s">
        <v>70</v>
      </c>
      <c r="AB9" s="11" t="s">
        <v>71</v>
      </c>
      <c r="AC9" s="12" t="s">
        <v>72</v>
      </c>
      <c r="AD9" s="11" t="s">
        <v>42</v>
      </c>
      <c r="AE9" s="12" t="s">
        <v>43</v>
      </c>
      <c r="AF9" s="14">
        <v>0.49864190000000003</v>
      </c>
      <c r="AG9" s="11" t="s">
        <v>44</v>
      </c>
    </row>
    <row r="10" spans="1:33" x14ac:dyDescent="0.2">
      <c r="A10" s="8">
        <v>1912</v>
      </c>
      <c r="B10" s="9" t="s">
        <v>67</v>
      </c>
      <c r="C10" s="10">
        <v>43257</v>
      </c>
      <c r="D10" s="11">
        <v>174</v>
      </c>
      <c r="E10" s="12" t="s">
        <v>34</v>
      </c>
      <c r="F10" s="12" t="s">
        <v>35</v>
      </c>
      <c r="G10" s="12" t="s">
        <v>35</v>
      </c>
      <c r="H10" s="12" t="s">
        <v>35</v>
      </c>
      <c r="I10" s="11" t="s">
        <v>73</v>
      </c>
      <c r="J10" s="12" t="s">
        <v>74</v>
      </c>
      <c r="K10" s="13" t="s">
        <v>38</v>
      </c>
      <c r="L10" s="11" t="str">
        <f>"000132"</f>
        <v>000132</v>
      </c>
      <c r="M10" s="10">
        <v>43152</v>
      </c>
      <c r="N10" s="11" t="str">
        <f>"000033"</f>
        <v>000033</v>
      </c>
      <c r="O10" s="10">
        <v>43178</v>
      </c>
      <c r="P10" s="11" t="str">
        <f>"000061"</f>
        <v>000061</v>
      </c>
      <c r="Q10" s="10">
        <v>43179</v>
      </c>
      <c r="R10" s="11">
        <v>18</v>
      </c>
      <c r="S10" s="11" t="str">
        <f>"001776"</f>
        <v>001776</v>
      </c>
      <c r="T10" s="10">
        <v>43243</v>
      </c>
      <c r="U10" s="14">
        <v>49.46951</v>
      </c>
      <c r="V10" s="14">
        <v>5.7379699999999998</v>
      </c>
      <c r="W10" s="14">
        <v>43.731540000000003</v>
      </c>
      <c r="X10" s="11">
        <v>73</v>
      </c>
      <c r="Y10" s="10">
        <v>43257</v>
      </c>
      <c r="Z10" s="11">
        <v>9999999999</v>
      </c>
      <c r="AA10" s="12" t="s">
        <v>70</v>
      </c>
      <c r="AB10" s="11" t="s">
        <v>71</v>
      </c>
      <c r="AC10" s="12" t="s">
        <v>72</v>
      </c>
      <c r="AD10" s="11" t="s">
        <v>42</v>
      </c>
      <c r="AE10" s="12" t="s">
        <v>43</v>
      </c>
      <c r="AF10" s="14">
        <v>0.4946951</v>
      </c>
      <c r="AG10" s="11" t="s">
        <v>44</v>
      </c>
    </row>
    <row r="11" spans="1:33" x14ac:dyDescent="0.2">
      <c r="A11" s="8">
        <v>2157</v>
      </c>
      <c r="B11" s="9" t="s">
        <v>67</v>
      </c>
      <c r="C11" s="10">
        <v>43265</v>
      </c>
      <c r="D11" s="11">
        <v>174</v>
      </c>
      <c r="E11" s="12" t="s">
        <v>34</v>
      </c>
      <c r="F11" s="12" t="s">
        <v>35</v>
      </c>
      <c r="G11" s="12" t="s">
        <v>35</v>
      </c>
      <c r="H11" s="12" t="s">
        <v>35</v>
      </c>
      <c r="I11" s="11" t="s">
        <v>75</v>
      </c>
      <c r="J11" s="12" t="s">
        <v>76</v>
      </c>
      <c r="K11" s="13" t="s">
        <v>77</v>
      </c>
      <c r="L11" s="11" t="str">
        <f>"000003"</f>
        <v>000003</v>
      </c>
      <c r="M11" s="10">
        <v>43091</v>
      </c>
      <c r="N11" s="11" t="str">
        <f>"000007"</f>
        <v>000007</v>
      </c>
      <c r="O11" s="10">
        <v>43091</v>
      </c>
      <c r="P11" s="11" t="str">
        <f>"000067"</f>
        <v>000067</v>
      </c>
      <c r="Q11" s="10">
        <v>43092</v>
      </c>
      <c r="R11" s="11">
        <v>17</v>
      </c>
      <c r="S11" s="11" t="str">
        <f>"008808"</f>
        <v>008808</v>
      </c>
      <c r="T11" s="10">
        <v>43102</v>
      </c>
      <c r="U11" s="14">
        <v>3.33</v>
      </c>
      <c r="V11" s="14">
        <v>0.33300000000000002</v>
      </c>
      <c r="W11" s="14">
        <v>2.9969999999999999</v>
      </c>
      <c r="X11" s="11">
        <v>84</v>
      </c>
      <c r="Y11" s="10">
        <v>43265</v>
      </c>
      <c r="Z11" s="11">
        <v>9916557576</v>
      </c>
      <c r="AA11" s="12" t="s">
        <v>78</v>
      </c>
      <c r="AB11" s="11" t="s">
        <v>79</v>
      </c>
      <c r="AC11" s="12" t="s">
        <v>80</v>
      </c>
      <c r="AD11" s="11" t="s">
        <v>81</v>
      </c>
      <c r="AE11" s="12" t="s">
        <v>82</v>
      </c>
      <c r="AF11" s="14">
        <v>3.3300000000000003E-2</v>
      </c>
      <c r="AG11" s="11" t="s">
        <v>44</v>
      </c>
    </row>
    <row r="12" spans="1:33" x14ac:dyDescent="0.2">
      <c r="A12" s="8">
        <v>2370</v>
      </c>
      <c r="B12" s="9" t="s">
        <v>67</v>
      </c>
      <c r="C12" s="10">
        <v>43269</v>
      </c>
      <c r="D12" s="11">
        <v>174</v>
      </c>
      <c r="E12" s="12" t="s">
        <v>34</v>
      </c>
      <c r="F12" s="12" t="s">
        <v>35</v>
      </c>
      <c r="G12" s="12" t="s">
        <v>35</v>
      </c>
      <c r="H12" s="12" t="s">
        <v>35</v>
      </c>
      <c r="I12" s="11" t="s">
        <v>83</v>
      </c>
      <c r="J12" s="12" t="s">
        <v>84</v>
      </c>
      <c r="K12" s="13" t="s">
        <v>38</v>
      </c>
      <c r="L12" s="11" t="str">
        <f>"000044"</f>
        <v>000044</v>
      </c>
      <c r="M12" s="10">
        <v>41869</v>
      </c>
      <c r="N12" s="11" t="str">
        <f>"000052"</f>
        <v>000052</v>
      </c>
      <c r="O12" s="10">
        <v>42212</v>
      </c>
      <c r="P12" s="11" t="str">
        <f>"000264"</f>
        <v>000264</v>
      </c>
      <c r="Q12" s="10">
        <v>42275</v>
      </c>
      <c r="R12" s="11">
        <v>14</v>
      </c>
      <c r="S12" s="11" t="str">
        <f>"002529"</f>
        <v>002529</v>
      </c>
      <c r="T12" s="10">
        <v>43264</v>
      </c>
      <c r="U12" s="14">
        <v>4.0414300000000001</v>
      </c>
      <c r="V12" s="14">
        <v>0.54588000000000003</v>
      </c>
      <c r="W12" s="14">
        <v>3.4955500000000002</v>
      </c>
      <c r="X12" s="11">
        <v>89</v>
      </c>
      <c r="Y12" s="10">
        <v>43269</v>
      </c>
      <c r="Z12" s="11">
        <v>9886669822</v>
      </c>
      <c r="AA12" s="12" t="s">
        <v>85</v>
      </c>
      <c r="AB12" s="11" t="s">
        <v>40</v>
      </c>
      <c r="AC12" s="12" t="s">
        <v>41</v>
      </c>
      <c r="AD12" s="11" t="s">
        <v>42</v>
      </c>
      <c r="AE12" s="12" t="s">
        <v>43</v>
      </c>
      <c r="AF12" s="14">
        <v>4.04143E-2</v>
      </c>
      <c r="AG12" s="11" t="s">
        <v>44</v>
      </c>
    </row>
    <row r="13" spans="1:33" x14ac:dyDescent="0.2">
      <c r="A13" s="8">
        <v>3204</v>
      </c>
      <c r="B13" s="9" t="s">
        <v>86</v>
      </c>
      <c r="C13" s="10">
        <v>43290</v>
      </c>
      <c r="D13" s="11">
        <v>174</v>
      </c>
      <c r="E13" s="12" t="s">
        <v>34</v>
      </c>
      <c r="F13" s="12" t="s">
        <v>35</v>
      </c>
      <c r="G13" s="12" t="s">
        <v>35</v>
      </c>
      <c r="H13" s="12" t="s">
        <v>35</v>
      </c>
      <c r="I13" s="11" t="s">
        <v>87</v>
      </c>
      <c r="J13" s="12" t="s">
        <v>88</v>
      </c>
      <c r="K13" s="13" t="s">
        <v>38</v>
      </c>
      <c r="L13" s="11" t="str">
        <f>"0034"</f>
        <v>0034</v>
      </c>
      <c r="M13" s="10">
        <v>1</v>
      </c>
      <c r="N13" s="11" t="str">
        <f>"000054"</f>
        <v>000054</v>
      </c>
      <c r="O13" s="10">
        <v>42646</v>
      </c>
      <c r="P13" s="11" t="str">
        <f>"000066"</f>
        <v>000066</v>
      </c>
      <c r="Q13" s="10">
        <v>42671</v>
      </c>
      <c r="R13" s="11">
        <v>17</v>
      </c>
      <c r="S13" s="11" t="str">
        <f>"003409"</f>
        <v>003409</v>
      </c>
      <c r="T13" s="10">
        <v>43288</v>
      </c>
      <c r="U13" s="14">
        <v>44.422199999999997</v>
      </c>
      <c r="V13" s="14">
        <v>5.9289199999999997</v>
      </c>
      <c r="W13" s="14">
        <v>38.493279999999999</v>
      </c>
      <c r="X13" s="11">
        <v>117</v>
      </c>
      <c r="Y13" s="10">
        <v>43290</v>
      </c>
      <c r="Z13" s="11">
        <v>9999999999</v>
      </c>
      <c r="AA13" s="12" t="s">
        <v>70</v>
      </c>
      <c r="AB13" s="11" t="s">
        <v>89</v>
      </c>
      <c r="AC13" s="12" t="s">
        <v>90</v>
      </c>
      <c r="AD13" s="11" t="s">
        <v>55</v>
      </c>
      <c r="AE13" s="12" t="s">
        <v>56</v>
      </c>
      <c r="AF13" s="14">
        <v>0.44422199999999995</v>
      </c>
      <c r="AG13" s="11" t="s">
        <v>44</v>
      </c>
    </row>
    <row r="14" spans="1:33" x14ac:dyDescent="0.2">
      <c r="A14" s="8">
        <v>3868</v>
      </c>
      <c r="B14" s="9" t="s">
        <v>86</v>
      </c>
      <c r="C14" s="10">
        <v>43304</v>
      </c>
      <c r="D14" s="11">
        <v>174</v>
      </c>
      <c r="E14" s="12" t="s">
        <v>34</v>
      </c>
      <c r="F14" s="12" t="s">
        <v>35</v>
      </c>
      <c r="G14" s="12" t="s">
        <v>35</v>
      </c>
      <c r="H14" s="12" t="s">
        <v>35</v>
      </c>
      <c r="I14" s="11" t="s">
        <v>91</v>
      </c>
      <c r="J14" s="12" t="s">
        <v>92</v>
      </c>
      <c r="K14" s="13" t="s">
        <v>47</v>
      </c>
      <c r="L14" s="11" t="str">
        <f>"000007"</f>
        <v>000007</v>
      </c>
      <c r="M14" s="10">
        <v>43119</v>
      </c>
      <c r="N14" s="11" t="str">
        <f>"000002"</f>
        <v>000002</v>
      </c>
      <c r="O14" s="10">
        <v>43199</v>
      </c>
      <c r="P14" s="11" t="str">
        <f>"000009"</f>
        <v>000009</v>
      </c>
      <c r="Q14" s="10">
        <v>43200</v>
      </c>
      <c r="R14" s="11">
        <v>18</v>
      </c>
      <c r="S14" s="11" t="str">
        <f>"004206"</f>
        <v>004206</v>
      </c>
      <c r="T14" s="10">
        <v>43302</v>
      </c>
      <c r="U14" s="14">
        <v>97.299000000000007</v>
      </c>
      <c r="V14" s="14">
        <v>2.3759999999999999</v>
      </c>
      <c r="W14" s="14">
        <v>94.923000000000002</v>
      </c>
      <c r="X14" s="11">
        <v>136</v>
      </c>
      <c r="Y14" s="10">
        <v>43304</v>
      </c>
      <c r="Z14" s="11">
        <v>9964330099</v>
      </c>
      <c r="AA14" s="12" t="s">
        <v>93</v>
      </c>
      <c r="AB14" s="11" t="s">
        <v>94</v>
      </c>
      <c r="AC14" s="12" t="s">
        <v>95</v>
      </c>
      <c r="AD14" s="11" t="s">
        <v>81</v>
      </c>
      <c r="AE14" s="12" t="s">
        <v>82</v>
      </c>
      <c r="AF14" s="14">
        <v>0.97299000000000002</v>
      </c>
      <c r="AG14" s="11" t="s">
        <v>96</v>
      </c>
    </row>
    <row r="15" spans="1:33" x14ac:dyDescent="0.2">
      <c r="A15" s="8">
        <v>4215</v>
      </c>
      <c r="B15" s="9" t="s">
        <v>97</v>
      </c>
      <c r="C15" s="10">
        <v>43313</v>
      </c>
      <c r="D15" s="11">
        <v>174</v>
      </c>
      <c r="E15" s="12" t="s">
        <v>34</v>
      </c>
      <c r="F15" s="12" t="s">
        <v>35</v>
      </c>
      <c r="G15" s="12" t="s">
        <v>35</v>
      </c>
      <c r="H15" s="12" t="s">
        <v>35</v>
      </c>
      <c r="I15" s="11" t="s">
        <v>98</v>
      </c>
      <c r="J15" s="12" t="s">
        <v>99</v>
      </c>
      <c r="K15" s="13" t="s">
        <v>77</v>
      </c>
      <c r="L15" s="11" t="str">
        <f>"000050"</f>
        <v>000050</v>
      </c>
      <c r="M15" s="10">
        <v>43083</v>
      </c>
      <c r="N15" s="11" t="str">
        <f>"000020"</f>
        <v>000020</v>
      </c>
      <c r="O15" s="10">
        <v>43257</v>
      </c>
      <c r="P15" s="11" t="str">
        <f>"000080"</f>
        <v>000080</v>
      </c>
      <c r="Q15" s="10">
        <v>43264</v>
      </c>
      <c r="R15" s="11">
        <v>18</v>
      </c>
      <c r="S15" s="11" t="str">
        <f>"004574"</f>
        <v>004574</v>
      </c>
      <c r="T15" s="10">
        <v>43313</v>
      </c>
      <c r="U15" s="14">
        <v>49.764380000000003</v>
      </c>
      <c r="V15" s="14">
        <v>4.6410600000000004</v>
      </c>
      <c r="W15" s="14">
        <v>45.12332</v>
      </c>
      <c r="X15" s="11">
        <v>147</v>
      </c>
      <c r="Y15" s="10">
        <v>43313</v>
      </c>
      <c r="Z15" s="11">
        <v>9999999999</v>
      </c>
      <c r="AA15" s="12" t="s">
        <v>70</v>
      </c>
      <c r="AB15" s="11" t="s">
        <v>71</v>
      </c>
      <c r="AC15" s="12" t="s">
        <v>72</v>
      </c>
      <c r="AD15" s="11" t="s">
        <v>42</v>
      </c>
      <c r="AE15" s="12" t="s">
        <v>43</v>
      </c>
      <c r="AF15" s="14">
        <v>0.49764380000000003</v>
      </c>
      <c r="AG15" s="11" t="s">
        <v>96</v>
      </c>
    </row>
    <row r="16" spans="1:33" x14ac:dyDescent="0.2">
      <c r="A16" s="8">
        <v>4330</v>
      </c>
      <c r="B16" s="9" t="s">
        <v>97</v>
      </c>
      <c r="C16" s="10">
        <v>43315</v>
      </c>
      <c r="D16" s="11">
        <v>174</v>
      </c>
      <c r="E16" s="12" t="s">
        <v>34</v>
      </c>
      <c r="F16" s="12" t="s">
        <v>35</v>
      </c>
      <c r="G16" s="12" t="s">
        <v>35</v>
      </c>
      <c r="H16" s="12" t="s">
        <v>35</v>
      </c>
      <c r="I16" s="11" t="s">
        <v>100</v>
      </c>
      <c r="J16" s="12" t="s">
        <v>101</v>
      </c>
      <c r="K16" s="13" t="s">
        <v>47</v>
      </c>
      <c r="L16" s="11" t="str">
        <f>"000304"</f>
        <v>000304</v>
      </c>
      <c r="M16" s="10">
        <v>40191</v>
      </c>
      <c r="N16" s="11" t="str">
        <f>"000084"</f>
        <v>000084</v>
      </c>
      <c r="O16" s="10">
        <v>41516</v>
      </c>
      <c r="P16" s="11" t="str">
        <f>"000473"</f>
        <v>000473</v>
      </c>
      <c r="Q16" s="10">
        <v>41638</v>
      </c>
      <c r="R16" s="11">
        <v>18</v>
      </c>
      <c r="S16" s="11" t="str">
        <f>"004471"</f>
        <v>004471</v>
      </c>
      <c r="T16" s="10">
        <v>43308</v>
      </c>
      <c r="U16" s="14">
        <v>20.15897</v>
      </c>
      <c r="V16" s="14">
        <v>3.07803</v>
      </c>
      <c r="W16" s="14">
        <v>17.080939999999998</v>
      </c>
      <c r="X16" s="11">
        <v>153</v>
      </c>
      <c r="Y16" s="10">
        <v>43315</v>
      </c>
      <c r="Z16" s="11">
        <v>9999999999</v>
      </c>
      <c r="AA16" s="12" t="s">
        <v>70</v>
      </c>
      <c r="AB16" s="11" t="s">
        <v>102</v>
      </c>
      <c r="AC16" s="12" t="s">
        <v>103</v>
      </c>
      <c r="AD16" s="11" t="s">
        <v>42</v>
      </c>
      <c r="AE16" s="12" t="s">
        <v>43</v>
      </c>
      <c r="AF16" s="14">
        <v>0.20158970000000001</v>
      </c>
      <c r="AG16" s="11" t="s">
        <v>44</v>
      </c>
    </row>
    <row r="17" spans="1:33" x14ac:dyDescent="0.2">
      <c r="A17" s="8">
        <v>4600</v>
      </c>
      <c r="B17" s="9" t="s">
        <v>97</v>
      </c>
      <c r="C17" s="10">
        <v>43318</v>
      </c>
      <c r="D17" s="11">
        <v>174</v>
      </c>
      <c r="E17" s="12" t="s">
        <v>34</v>
      </c>
      <c r="F17" s="12" t="s">
        <v>35</v>
      </c>
      <c r="G17" s="12" t="s">
        <v>35</v>
      </c>
      <c r="H17" s="12" t="s">
        <v>35</v>
      </c>
      <c r="I17" s="11" t="s">
        <v>104</v>
      </c>
      <c r="J17" s="12" t="s">
        <v>105</v>
      </c>
      <c r="K17" s="13" t="s">
        <v>47</v>
      </c>
      <c r="L17" s="11" t="str">
        <f>"000012"</f>
        <v>000012</v>
      </c>
      <c r="M17" s="10">
        <v>43191</v>
      </c>
      <c r="N17" s="11" t="str">
        <f>"000060"</f>
        <v>000060</v>
      </c>
      <c r="O17" s="10">
        <v>43146</v>
      </c>
      <c r="P17" s="11" t="str">
        <f>"000065"</f>
        <v>000065</v>
      </c>
      <c r="Q17" s="10">
        <v>43146</v>
      </c>
      <c r="R17" s="11">
        <v>16</v>
      </c>
      <c r="S17" s="11" t="str">
        <f>"004817"</f>
        <v>004817</v>
      </c>
      <c r="T17" s="10">
        <v>43315</v>
      </c>
      <c r="U17" s="14">
        <v>10.47803</v>
      </c>
      <c r="V17" s="14">
        <v>1.3715900000000001</v>
      </c>
      <c r="W17" s="14">
        <v>9.1064399999999992</v>
      </c>
      <c r="X17" s="11">
        <v>157</v>
      </c>
      <c r="Y17" s="10">
        <v>43318</v>
      </c>
      <c r="Z17" s="11">
        <v>9663394918</v>
      </c>
      <c r="AA17" s="12" t="s">
        <v>106</v>
      </c>
      <c r="AB17" s="11" t="s">
        <v>107</v>
      </c>
      <c r="AC17" s="12" t="s">
        <v>108</v>
      </c>
      <c r="AD17" s="11" t="s">
        <v>109</v>
      </c>
      <c r="AE17" s="12" t="s">
        <v>110</v>
      </c>
      <c r="AF17" s="14">
        <v>0.10478030000000001</v>
      </c>
      <c r="AG17" s="11" t="s">
        <v>96</v>
      </c>
    </row>
    <row r="18" spans="1:33" x14ac:dyDescent="0.2">
      <c r="A18" s="8">
        <v>4601</v>
      </c>
      <c r="B18" s="9" t="s">
        <v>97</v>
      </c>
      <c r="C18" s="10">
        <v>43318</v>
      </c>
      <c r="D18" s="11">
        <v>174</v>
      </c>
      <c r="E18" s="12" t="s">
        <v>34</v>
      </c>
      <c r="F18" s="12" t="s">
        <v>35</v>
      </c>
      <c r="G18" s="12" t="s">
        <v>35</v>
      </c>
      <c r="H18" s="12" t="s">
        <v>35</v>
      </c>
      <c r="I18" s="11" t="s">
        <v>111</v>
      </c>
      <c r="J18" s="12" t="s">
        <v>112</v>
      </c>
      <c r="K18" s="13" t="s">
        <v>47</v>
      </c>
      <c r="L18" s="11" t="str">
        <f>"000023"</f>
        <v>000023</v>
      </c>
      <c r="M18" s="10">
        <v>43191</v>
      </c>
      <c r="N18" s="11" t="str">
        <f>"000084"</f>
        <v>000084</v>
      </c>
      <c r="O18" s="10">
        <v>43159</v>
      </c>
      <c r="P18" s="11" t="str">
        <f>"000087"</f>
        <v>000087</v>
      </c>
      <c r="Q18" s="10">
        <v>43190</v>
      </c>
      <c r="R18" s="11">
        <v>16</v>
      </c>
      <c r="S18" s="11" t="str">
        <f>"004891"</f>
        <v>004891</v>
      </c>
      <c r="T18" s="10">
        <v>43316</v>
      </c>
      <c r="U18" s="14">
        <v>13.166309999999999</v>
      </c>
      <c r="V18" s="14">
        <v>1.4179299999999999</v>
      </c>
      <c r="W18" s="14">
        <v>11.748379999999999</v>
      </c>
      <c r="X18" s="11">
        <v>157</v>
      </c>
      <c r="Y18" s="10">
        <v>43318</v>
      </c>
      <c r="Z18" s="11">
        <v>9880542090</v>
      </c>
      <c r="AA18" s="12" t="s">
        <v>113</v>
      </c>
      <c r="AB18" s="11" t="s">
        <v>107</v>
      </c>
      <c r="AC18" s="12" t="s">
        <v>108</v>
      </c>
      <c r="AD18" s="11" t="s">
        <v>109</v>
      </c>
      <c r="AE18" s="12" t="s">
        <v>110</v>
      </c>
      <c r="AF18" s="14">
        <v>0.13166310000000001</v>
      </c>
      <c r="AG18" s="11" t="s">
        <v>96</v>
      </c>
    </row>
    <row r="19" spans="1:33" x14ac:dyDescent="0.2">
      <c r="A19" s="8">
        <v>5329</v>
      </c>
      <c r="B19" s="9" t="s">
        <v>114</v>
      </c>
      <c r="C19" s="10">
        <v>43346</v>
      </c>
      <c r="D19" s="11">
        <v>174</v>
      </c>
      <c r="E19" s="12" t="s">
        <v>34</v>
      </c>
      <c r="F19" s="12" t="s">
        <v>35</v>
      </c>
      <c r="G19" s="12" t="s">
        <v>35</v>
      </c>
      <c r="H19" s="12" t="s">
        <v>35</v>
      </c>
      <c r="I19" s="11" t="s">
        <v>115</v>
      </c>
      <c r="J19" s="12" t="s">
        <v>116</v>
      </c>
      <c r="K19" s="13" t="s">
        <v>38</v>
      </c>
      <c r="L19" s="11" t="str">
        <f>"000058"</f>
        <v>000058</v>
      </c>
      <c r="M19" s="10">
        <v>43106</v>
      </c>
      <c r="N19" s="11" t="str">
        <f>"000026"</f>
        <v>000026</v>
      </c>
      <c r="O19" s="10">
        <v>43281</v>
      </c>
      <c r="P19" s="11" t="str">
        <f>"000083"</f>
        <v>000083</v>
      </c>
      <c r="Q19" s="10">
        <v>43281</v>
      </c>
      <c r="R19" s="11">
        <v>16</v>
      </c>
      <c r="S19" s="11" t="str">
        <f>"005465"</f>
        <v>005465</v>
      </c>
      <c r="T19" s="10">
        <v>43340</v>
      </c>
      <c r="U19" s="14">
        <v>10.71636</v>
      </c>
      <c r="V19" s="14">
        <v>0.93830000000000002</v>
      </c>
      <c r="W19" s="14">
        <v>9.77806</v>
      </c>
      <c r="X19" s="11">
        <v>187</v>
      </c>
      <c r="Y19" s="10">
        <v>43346</v>
      </c>
      <c r="Z19" s="11">
        <v>9986021987</v>
      </c>
      <c r="AA19" s="12" t="s">
        <v>117</v>
      </c>
      <c r="AB19" s="11" t="s">
        <v>118</v>
      </c>
      <c r="AC19" s="12" t="s">
        <v>119</v>
      </c>
      <c r="AD19" s="11" t="s">
        <v>42</v>
      </c>
      <c r="AE19" s="12" t="s">
        <v>43</v>
      </c>
      <c r="AF19" s="14">
        <f t="shared" ref="AF19:AF53" si="0">U19/100</f>
        <v>0.1071636</v>
      </c>
      <c r="AG19" s="11" t="s">
        <v>96</v>
      </c>
    </row>
    <row r="20" spans="1:33" x14ac:dyDescent="0.2">
      <c r="A20" s="8">
        <v>5330</v>
      </c>
      <c r="B20" s="9" t="s">
        <v>114</v>
      </c>
      <c r="C20" s="10">
        <v>43346</v>
      </c>
      <c r="D20" s="11">
        <v>174</v>
      </c>
      <c r="E20" s="12" t="s">
        <v>34</v>
      </c>
      <c r="F20" s="12" t="s">
        <v>35</v>
      </c>
      <c r="G20" s="12" t="s">
        <v>35</v>
      </c>
      <c r="H20" s="12" t="s">
        <v>35</v>
      </c>
      <c r="I20" s="11" t="s">
        <v>120</v>
      </c>
      <c r="J20" s="12" t="s">
        <v>121</v>
      </c>
      <c r="K20" s="13" t="s">
        <v>38</v>
      </c>
      <c r="L20" s="11" t="str">
        <f>"000059"</f>
        <v>000059</v>
      </c>
      <c r="M20" s="10">
        <v>43106</v>
      </c>
      <c r="N20" s="11" t="str">
        <f>"000025"</f>
        <v>000025</v>
      </c>
      <c r="O20" s="10">
        <v>43281</v>
      </c>
      <c r="P20" s="11" t="str">
        <f>"000084"</f>
        <v>000084</v>
      </c>
      <c r="Q20" s="10">
        <v>43281</v>
      </c>
      <c r="R20" s="11">
        <v>16</v>
      </c>
      <c r="S20" s="11" t="str">
        <f>"005468"</f>
        <v>005468</v>
      </c>
      <c r="T20" s="10">
        <v>43340</v>
      </c>
      <c r="U20" s="14">
        <v>4.4340000000000002</v>
      </c>
      <c r="V20" s="14">
        <v>0.41765000000000002</v>
      </c>
      <c r="W20" s="14">
        <v>4.0163500000000001</v>
      </c>
      <c r="X20" s="11">
        <v>187</v>
      </c>
      <c r="Y20" s="10">
        <v>43346</v>
      </c>
      <c r="Z20" s="11">
        <v>9986021987</v>
      </c>
      <c r="AA20" s="12" t="s">
        <v>117</v>
      </c>
      <c r="AB20" s="11" t="s">
        <v>118</v>
      </c>
      <c r="AC20" s="12" t="s">
        <v>119</v>
      </c>
      <c r="AD20" s="11" t="s">
        <v>42</v>
      </c>
      <c r="AE20" s="12" t="s">
        <v>43</v>
      </c>
      <c r="AF20" s="14">
        <f t="shared" si="0"/>
        <v>4.4340000000000004E-2</v>
      </c>
      <c r="AG20" s="11" t="s">
        <v>96</v>
      </c>
    </row>
    <row r="21" spans="1:33" x14ac:dyDescent="0.2">
      <c r="A21" s="8">
        <v>5331</v>
      </c>
      <c r="B21" s="9" t="s">
        <v>114</v>
      </c>
      <c r="C21" s="10">
        <v>43346</v>
      </c>
      <c r="D21" s="11">
        <v>174</v>
      </c>
      <c r="E21" s="12" t="s">
        <v>34</v>
      </c>
      <c r="F21" s="12" t="s">
        <v>35</v>
      </c>
      <c r="G21" s="12" t="s">
        <v>35</v>
      </c>
      <c r="H21" s="12" t="s">
        <v>35</v>
      </c>
      <c r="I21" s="11" t="s">
        <v>122</v>
      </c>
      <c r="J21" s="12" t="s">
        <v>123</v>
      </c>
      <c r="K21" s="13" t="s">
        <v>38</v>
      </c>
      <c r="L21" s="11" t="str">
        <f>"000126"</f>
        <v>000126</v>
      </c>
      <c r="M21" s="10">
        <v>41353</v>
      </c>
      <c r="N21" s="11" t="str">
        <f>"00"</f>
        <v>00</v>
      </c>
      <c r="O21" s="10">
        <v>18</v>
      </c>
      <c r="P21" s="11" t="str">
        <f>"000018"</f>
        <v>000018</v>
      </c>
      <c r="Q21" s="10">
        <v>42580</v>
      </c>
      <c r="R21" s="11">
        <v>13</v>
      </c>
      <c r="S21" s="11" t="str">
        <f>"005334"</f>
        <v>005334</v>
      </c>
      <c r="T21" s="10">
        <v>43333</v>
      </c>
      <c r="U21" s="14">
        <v>26.891359999999999</v>
      </c>
      <c r="V21" s="14">
        <v>3.9748399999999999</v>
      </c>
      <c r="W21" s="14">
        <v>22.916519999999998</v>
      </c>
      <c r="X21" s="11">
        <v>193</v>
      </c>
      <c r="Y21" s="10">
        <v>43346</v>
      </c>
      <c r="Z21" s="11">
        <v>9999999999</v>
      </c>
      <c r="AA21" s="12" t="s">
        <v>70</v>
      </c>
      <c r="AB21" s="11" t="s">
        <v>124</v>
      </c>
      <c r="AC21" s="12" t="s">
        <v>125</v>
      </c>
      <c r="AD21" s="11" t="s">
        <v>55</v>
      </c>
      <c r="AE21" s="12" t="s">
        <v>56</v>
      </c>
      <c r="AF21" s="14">
        <f t="shared" si="0"/>
        <v>0.26891359999999997</v>
      </c>
      <c r="AG21" s="11" t="s">
        <v>44</v>
      </c>
    </row>
    <row r="22" spans="1:33" x14ac:dyDescent="0.2">
      <c r="A22" s="8">
        <v>5332</v>
      </c>
      <c r="B22" s="9" t="s">
        <v>114</v>
      </c>
      <c r="C22" s="10">
        <v>43346</v>
      </c>
      <c r="D22" s="11">
        <v>174</v>
      </c>
      <c r="E22" s="12" t="s">
        <v>34</v>
      </c>
      <c r="F22" s="12" t="s">
        <v>35</v>
      </c>
      <c r="G22" s="12" t="s">
        <v>35</v>
      </c>
      <c r="H22" s="12" t="s">
        <v>35</v>
      </c>
      <c r="I22" s="11" t="s">
        <v>126</v>
      </c>
      <c r="J22" s="12" t="s">
        <v>127</v>
      </c>
      <c r="K22" s="13" t="s">
        <v>38</v>
      </c>
      <c r="L22" s="11" t="str">
        <f>"000035"</f>
        <v>000035</v>
      </c>
      <c r="M22" s="10">
        <v>41844</v>
      </c>
      <c r="N22" s="11" t="str">
        <f>"00"</f>
        <v>00</v>
      </c>
      <c r="O22" s="10">
        <v>19</v>
      </c>
      <c r="P22" s="11" t="str">
        <f>"000019"</f>
        <v>000019</v>
      </c>
      <c r="Q22" s="10">
        <v>42579</v>
      </c>
      <c r="R22" s="11">
        <v>14</v>
      </c>
      <c r="S22" s="11" t="str">
        <f>"005434"</f>
        <v>005434</v>
      </c>
      <c r="T22" s="10">
        <v>43340</v>
      </c>
      <c r="U22" s="14">
        <v>19.90166</v>
      </c>
      <c r="V22" s="14">
        <v>2.6812999999999998</v>
      </c>
      <c r="W22" s="14">
        <v>17.220359999999999</v>
      </c>
      <c r="X22" s="11">
        <v>193</v>
      </c>
      <c r="Y22" s="10">
        <v>43346</v>
      </c>
      <c r="Z22" s="11">
        <v>9986072837</v>
      </c>
      <c r="AA22" s="12" t="s">
        <v>128</v>
      </c>
      <c r="AB22" s="11" t="s">
        <v>40</v>
      </c>
      <c r="AC22" s="12" t="s">
        <v>41</v>
      </c>
      <c r="AD22" s="11" t="s">
        <v>55</v>
      </c>
      <c r="AE22" s="12" t="s">
        <v>56</v>
      </c>
      <c r="AF22" s="14">
        <f t="shared" si="0"/>
        <v>0.19901659999999999</v>
      </c>
      <c r="AG22" s="11" t="s">
        <v>44</v>
      </c>
    </row>
    <row r="23" spans="1:33" x14ac:dyDescent="0.2">
      <c r="A23" s="8">
        <v>5748</v>
      </c>
      <c r="B23" s="9" t="s">
        <v>114</v>
      </c>
      <c r="C23" s="10">
        <v>43370</v>
      </c>
      <c r="D23" s="11">
        <v>174</v>
      </c>
      <c r="E23" s="12" t="s">
        <v>34</v>
      </c>
      <c r="F23" s="12" t="s">
        <v>35</v>
      </c>
      <c r="G23" s="12" t="s">
        <v>35</v>
      </c>
      <c r="H23" s="12" t="s">
        <v>35</v>
      </c>
      <c r="I23" s="11" t="s">
        <v>129</v>
      </c>
      <c r="J23" s="12" t="s">
        <v>130</v>
      </c>
      <c r="K23" s="13" t="s">
        <v>131</v>
      </c>
      <c r="L23" s="11" t="str">
        <f>"000008"</f>
        <v>000008</v>
      </c>
      <c r="M23" s="10">
        <v>42994</v>
      </c>
      <c r="N23" s="11" t="str">
        <f>"000036"</f>
        <v>000036</v>
      </c>
      <c r="O23" s="10">
        <v>43315</v>
      </c>
      <c r="P23" s="11" t="str">
        <f>"000099"</f>
        <v>000099</v>
      </c>
      <c r="Q23" s="10">
        <v>43321</v>
      </c>
      <c r="R23" s="11">
        <v>17</v>
      </c>
      <c r="S23" s="11" t="str">
        <f>"006004"</f>
        <v>006004</v>
      </c>
      <c r="T23" s="10">
        <v>43369</v>
      </c>
      <c r="U23" s="14">
        <v>12.0625</v>
      </c>
      <c r="V23" s="14">
        <v>0.87214000000000003</v>
      </c>
      <c r="W23" s="14">
        <v>11.19036</v>
      </c>
      <c r="X23" s="11">
        <v>214</v>
      </c>
      <c r="Y23" s="10">
        <v>43370</v>
      </c>
      <c r="Z23" s="11">
        <v>9986021987</v>
      </c>
      <c r="AA23" s="12" t="s">
        <v>132</v>
      </c>
      <c r="AB23" s="11" t="s">
        <v>79</v>
      </c>
      <c r="AC23" s="12" t="s">
        <v>80</v>
      </c>
      <c r="AD23" s="11" t="s">
        <v>42</v>
      </c>
      <c r="AE23" s="12" t="s">
        <v>43</v>
      </c>
      <c r="AF23" s="14">
        <f t="shared" si="0"/>
        <v>0.120625</v>
      </c>
      <c r="AG23" s="11" t="s">
        <v>96</v>
      </c>
    </row>
    <row r="24" spans="1:33" x14ac:dyDescent="0.2">
      <c r="A24" s="8">
        <v>5749</v>
      </c>
      <c r="B24" s="9" t="s">
        <v>114</v>
      </c>
      <c r="C24" s="10">
        <v>43370</v>
      </c>
      <c r="D24" s="11">
        <v>174</v>
      </c>
      <c r="E24" s="12" t="s">
        <v>34</v>
      </c>
      <c r="F24" s="12" t="s">
        <v>35</v>
      </c>
      <c r="G24" s="12" t="s">
        <v>35</v>
      </c>
      <c r="H24" s="12" t="s">
        <v>35</v>
      </c>
      <c r="I24" s="11" t="s">
        <v>133</v>
      </c>
      <c r="J24" s="12" t="s">
        <v>134</v>
      </c>
      <c r="K24" s="13" t="s">
        <v>38</v>
      </c>
      <c r="L24" s="11" t="str">
        <f>"000002"</f>
        <v>000002</v>
      </c>
      <c r="M24" s="10">
        <v>42478</v>
      </c>
      <c r="N24" s="11" t="str">
        <f>"0032"</f>
        <v>0032</v>
      </c>
      <c r="O24" s="10">
        <v>1</v>
      </c>
      <c r="P24" s="11" t="str">
        <f>"000049"</f>
        <v>000049</v>
      </c>
      <c r="Q24" s="10">
        <v>42611</v>
      </c>
      <c r="R24" s="11">
        <v>16</v>
      </c>
      <c r="S24" s="11" t="str">
        <f>"005335"</f>
        <v>005335</v>
      </c>
      <c r="T24" s="10">
        <v>43333</v>
      </c>
      <c r="U24" s="14">
        <v>7.8501399999999997</v>
      </c>
      <c r="V24" s="14">
        <v>1.02213</v>
      </c>
      <c r="W24" s="14">
        <v>6.8280099999999999</v>
      </c>
      <c r="X24" s="11">
        <v>216</v>
      </c>
      <c r="Y24" s="10">
        <v>43370</v>
      </c>
      <c r="Z24" s="11">
        <v>9986021987</v>
      </c>
      <c r="AA24" s="12" t="s">
        <v>132</v>
      </c>
      <c r="AB24" s="11" t="s">
        <v>40</v>
      </c>
      <c r="AC24" s="12" t="s">
        <v>41</v>
      </c>
      <c r="AD24" s="11" t="s">
        <v>55</v>
      </c>
      <c r="AE24" s="12" t="s">
        <v>56</v>
      </c>
      <c r="AF24" s="14">
        <f t="shared" si="0"/>
        <v>7.8501399999999999E-2</v>
      </c>
      <c r="AG24" s="11" t="s">
        <v>44</v>
      </c>
    </row>
    <row r="25" spans="1:33" x14ac:dyDescent="0.2">
      <c r="A25" s="8">
        <v>5750</v>
      </c>
      <c r="B25" s="9" t="s">
        <v>114</v>
      </c>
      <c r="C25" s="10">
        <v>43370</v>
      </c>
      <c r="D25" s="11">
        <v>174</v>
      </c>
      <c r="E25" s="12" t="s">
        <v>34</v>
      </c>
      <c r="F25" s="12" t="s">
        <v>35</v>
      </c>
      <c r="G25" s="12" t="s">
        <v>35</v>
      </c>
      <c r="H25" s="12" t="s">
        <v>35</v>
      </c>
      <c r="I25" s="11" t="s">
        <v>135</v>
      </c>
      <c r="J25" s="12" t="s">
        <v>136</v>
      </c>
      <c r="K25" s="13" t="s">
        <v>38</v>
      </c>
      <c r="L25" s="11" t="str">
        <f>"0004"</f>
        <v>0004</v>
      </c>
      <c r="M25" s="10">
        <v>1</v>
      </c>
      <c r="N25" s="11" t="str">
        <f>"000029"</f>
        <v>000029</v>
      </c>
      <c r="O25" s="10">
        <v>42573</v>
      </c>
      <c r="P25" s="11" t="str">
        <f>"000051"</f>
        <v>000051</v>
      </c>
      <c r="Q25" s="10">
        <v>42611</v>
      </c>
      <c r="R25" s="11">
        <v>16</v>
      </c>
      <c r="S25" s="11" t="str">
        <f>"005336"</f>
        <v>005336</v>
      </c>
      <c r="T25" s="10">
        <v>43333</v>
      </c>
      <c r="U25" s="14">
        <v>7.8371500000000003</v>
      </c>
      <c r="V25" s="14">
        <v>1.0596099999999999</v>
      </c>
      <c r="W25" s="14">
        <v>6.7775400000000001</v>
      </c>
      <c r="X25" s="11">
        <v>216</v>
      </c>
      <c r="Y25" s="10">
        <v>43370</v>
      </c>
      <c r="Z25" s="11">
        <v>9986021987</v>
      </c>
      <c r="AA25" s="12" t="s">
        <v>137</v>
      </c>
      <c r="AB25" s="11" t="s">
        <v>40</v>
      </c>
      <c r="AC25" s="12" t="s">
        <v>41</v>
      </c>
      <c r="AD25" s="11" t="s">
        <v>55</v>
      </c>
      <c r="AE25" s="12" t="s">
        <v>56</v>
      </c>
      <c r="AF25" s="14">
        <f t="shared" si="0"/>
        <v>7.8371499999999997E-2</v>
      </c>
      <c r="AG25" s="11" t="s">
        <v>44</v>
      </c>
    </row>
    <row r="26" spans="1:33" x14ac:dyDescent="0.2">
      <c r="A26" s="8">
        <v>5751</v>
      </c>
      <c r="B26" s="9" t="s">
        <v>114</v>
      </c>
      <c r="C26" s="10">
        <v>43370</v>
      </c>
      <c r="D26" s="11">
        <v>174</v>
      </c>
      <c r="E26" s="12" t="s">
        <v>34</v>
      </c>
      <c r="F26" s="12" t="s">
        <v>35</v>
      </c>
      <c r="G26" s="12" t="s">
        <v>35</v>
      </c>
      <c r="H26" s="12" t="s">
        <v>35</v>
      </c>
      <c r="I26" s="11" t="s">
        <v>138</v>
      </c>
      <c r="J26" s="12" t="s">
        <v>139</v>
      </c>
      <c r="K26" s="13" t="s">
        <v>77</v>
      </c>
      <c r="L26" s="11" t="str">
        <f>"000042"</f>
        <v>000042</v>
      </c>
      <c r="M26" s="10">
        <v>42573</v>
      </c>
      <c r="N26" s="11" t="str">
        <f>"000017"</f>
        <v>000017</v>
      </c>
      <c r="O26" s="10">
        <v>42910</v>
      </c>
      <c r="P26" s="11" t="str">
        <f>"000094"</f>
        <v>000094</v>
      </c>
      <c r="Q26" s="10">
        <v>42916</v>
      </c>
      <c r="R26" s="11">
        <v>16</v>
      </c>
      <c r="S26" s="11" t="str">
        <f>"005944"</f>
        <v>005944</v>
      </c>
      <c r="T26" s="10">
        <v>43368</v>
      </c>
      <c r="U26" s="14">
        <v>4.96868</v>
      </c>
      <c r="V26" s="14">
        <v>0.41467999999999999</v>
      </c>
      <c r="W26" s="14">
        <v>4.5540000000000003</v>
      </c>
      <c r="X26" s="11">
        <v>218</v>
      </c>
      <c r="Y26" s="10">
        <v>43370</v>
      </c>
      <c r="Z26" s="11">
        <v>9845652652</v>
      </c>
      <c r="AA26" s="12" t="s">
        <v>140</v>
      </c>
      <c r="AB26" s="11" t="s">
        <v>141</v>
      </c>
      <c r="AC26" s="12" t="s">
        <v>142</v>
      </c>
      <c r="AD26" s="11" t="s">
        <v>42</v>
      </c>
      <c r="AE26" s="12" t="s">
        <v>43</v>
      </c>
      <c r="AF26" s="14">
        <f t="shared" si="0"/>
        <v>4.9686800000000003E-2</v>
      </c>
      <c r="AG26" s="11" t="s">
        <v>44</v>
      </c>
    </row>
    <row r="27" spans="1:33" x14ac:dyDescent="0.2">
      <c r="A27" s="8">
        <v>5816</v>
      </c>
      <c r="B27" s="9" t="s">
        <v>143</v>
      </c>
      <c r="C27" s="10">
        <v>43377</v>
      </c>
      <c r="D27" s="11">
        <v>174</v>
      </c>
      <c r="E27" s="12" t="s">
        <v>34</v>
      </c>
      <c r="F27" s="12" t="s">
        <v>35</v>
      </c>
      <c r="G27" s="12" t="s">
        <v>35</v>
      </c>
      <c r="H27" s="12" t="s">
        <v>35</v>
      </c>
      <c r="I27" s="11" t="s">
        <v>144</v>
      </c>
      <c r="J27" s="12" t="s">
        <v>145</v>
      </c>
      <c r="K27" s="13" t="s">
        <v>146</v>
      </c>
      <c r="L27" s="11" t="str">
        <f>"000005"</f>
        <v>000005</v>
      </c>
      <c r="M27" s="10">
        <v>43354</v>
      </c>
      <c r="N27" s="11" t="str">
        <f>"000022"</f>
        <v>000022</v>
      </c>
      <c r="O27" s="10">
        <v>43354</v>
      </c>
      <c r="P27" s="11" t="str">
        <f>"000134"</f>
        <v>000134</v>
      </c>
      <c r="Q27" s="10">
        <v>43354</v>
      </c>
      <c r="R27" s="11">
        <v>17</v>
      </c>
      <c r="S27" s="11" t="str">
        <f>"006118"</f>
        <v>006118</v>
      </c>
      <c r="T27" s="10">
        <v>43376</v>
      </c>
      <c r="U27" s="14">
        <v>194.9271</v>
      </c>
      <c r="V27" s="14">
        <v>16.476500000000001</v>
      </c>
      <c r="W27" s="14">
        <v>178.45060000000001</v>
      </c>
      <c r="X27" s="11">
        <v>220</v>
      </c>
      <c r="Y27" s="10">
        <v>43377</v>
      </c>
      <c r="Z27" s="11">
        <v>9480828220</v>
      </c>
      <c r="AA27" s="12" t="s">
        <v>147</v>
      </c>
      <c r="AB27" s="11" t="s">
        <v>79</v>
      </c>
      <c r="AC27" s="12" t="s">
        <v>80</v>
      </c>
      <c r="AD27" s="11" t="s">
        <v>81</v>
      </c>
      <c r="AE27" s="12" t="s">
        <v>82</v>
      </c>
      <c r="AF27" s="14">
        <f t="shared" si="0"/>
        <v>1.949271</v>
      </c>
      <c r="AG27" s="11" t="s">
        <v>148</v>
      </c>
    </row>
    <row r="28" spans="1:33" x14ac:dyDescent="0.2">
      <c r="A28" s="8">
        <v>5817</v>
      </c>
      <c r="B28" s="9" t="s">
        <v>143</v>
      </c>
      <c r="C28" s="10">
        <v>43377</v>
      </c>
      <c r="D28" s="11">
        <v>174</v>
      </c>
      <c r="E28" s="12" t="s">
        <v>34</v>
      </c>
      <c r="F28" s="12" t="s">
        <v>35</v>
      </c>
      <c r="G28" s="12" t="s">
        <v>35</v>
      </c>
      <c r="H28" s="12" t="s">
        <v>35</v>
      </c>
      <c r="I28" s="11" t="s">
        <v>144</v>
      </c>
      <c r="J28" s="12" t="s">
        <v>145</v>
      </c>
      <c r="K28" s="13" t="s">
        <v>146</v>
      </c>
      <c r="L28" s="11" t="str">
        <f>"000005"</f>
        <v>000005</v>
      </c>
      <c r="M28" s="10">
        <v>43354</v>
      </c>
      <c r="N28" s="11" t="str">
        <f>"000022"</f>
        <v>000022</v>
      </c>
      <c r="O28" s="10">
        <v>43354</v>
      </c>
      <c r="P28" s="11" t="str">
        <f>"000134"</f>
        <v>000134</v>
      </c>
      <c r="Q28" s="10">
        <v>43354</v>
      </c>
      <c r="R28" s="11">
        <v>17</v>
      </c>
      <c r="S28" s="11" t="str">
        <f>"006118"</f>
        <v>006118</v>
      </c>
      <c r="T28" s="10">
        <v>43376</v>
      </c>
      <c r="U28" s="14">
        <v>194.9271</v>
      </c>
      <c r="V28" s="14">
        <v>16.476500000000001</v>
      </c>
      <c r="W28" s="14">
        <v>178.45060000000001</v>
      </c>
      <c r="X28" s="11">
        <v>220</v>
      </c>
      <c r="Y28" s="10">
        <v>43377</v>
      </c>
      <c r="Z28" s="11">
        <v>9480828220</v>
      </c>
      <c r="AA28" s="12" t="s">
        <v>147</v>
      </c>
      <c r="AB28" s="11" t="s">
        <v>79</v>
      </c>
      <c r="AC28" s="12" t="s">
        <v>80</v>
      </c>
      <c r="AD28" s="11" t="s">
        <v>81</v>
      </c>
      <c r="AE28" s="12" t="s">
        <v>82</v>
      </c>
      <c r="AF28" s="14">
        <f t="shared" si="0"/>
        <v>1.949271</v>
      </c>
      <c r="AG28" s="11" t="s">
        <v>148</v>
      </c>
    </row>
    <row r="29" spans="1:33" x14ac:dyDescent="0.2">
      <c r="A29" s="8">
        <v>6278</v>
      </c>
      <c r="B29" s="9" t="s">
        <v>143</v>
      </c>
      <c r="C29" s="10">
        <v>43385</v>
      </c>
      <c r="D29" s="11">
        <v>174</v>
      </c>
      <c r="E29" s="12" t="s">
        <v>34</v>
      </c>
      <c r="F29" s="12" t="s">
        <v>35</v>
      </c>
      <c r="G29" s="12" t="s">
        <v>35</v>
      </c>
      <c r="H29" s="12" t="s">
        <v>35</v>
      </c>
      <c r="I29" s="11" t="s">
        <v>149</v>
      </c>
      <c r="J29" s="12" t="s">
        <v>150</v>
      </c>
      <c r="K29" s="13" t="s">
        <v>146</v>
      </c>
      <c r="L29" s="11" t="str">
        <f>"000023"</f>
        <v>000023</v>
      </c>
      <c r="M29" s="10">
        <v>43168</v>
      </c>
      <c r="N29" s="11" t="str">
        <f>"000049"</f>
        <v>000049</v>
      </c>
      <c r="O29" s="10">
        <v>43452</v>
      </c>
      <c r="P29" s="11" t="str">
        <f>"000217"</f>
        <v>000217</v>
      </c>
      <c r="Q29" s="10">
        <v>43452</v>
      </c>
      <c r="R29" s="11">
        <v>18</v>
      </c>
      <c r="S29" s="11" t="str">
        <f>"008608"</f>
        <v>008608</v>
      </c>
      <c r="T29" s="10">
        <v>43470</v>
      </c>
      <c r="U29" s="14">
        <v>613.86</v>
      </c>
      <c r="V29" s="14">
        <v>23.853000000000002</v>
      </c>
      <c r="W29" s="14">
        <v>590.00699999999995</v>
      </c>
      <c r="X29" s="11">
        <v>232</v>
      </c>
      <c r="Y29" s="10">
        <v>43385</v>
      </c>
      <c r="Z29" s="11">
        <v>9448907777</v>
      </c>
      <c r="AA29" s="12" t="s">
        <v>151</v>
      </c>
      <c r="AB29" s="11" t="s">
        <v>94</v>
      </c>
      <c r="AC29" s="12" t="s">
        <v>95</v>
      </c>
      <c r="AD29" s="11" t="s">
        <v>81</v>
      </c>
      <c r="AE29" s="12" t="s">
        <v>82</v>
      </c>
      <c r="AF29" s="14">
        <f t="shared" si="0"/>
        <v>6.1386000000000003</v>
      </c>
      <c r="AG29" s="11" t="s">
        <v>96</v>
      </c>
    </row>
    <row r="30" spans="1:33" x14ac:dyDescent="0.2">
      <c r="A30" s="8">
        <v>6279</v>
      </c>
      <c r="B30" s="9" t="s">
        <v>143</v>
      </c>
      <c r="C30" s="10">
        <v>43385</v>
      </c>
      <c r="D30" s="11">
        <v>174</v>
      </c>
      <c r="E30" s="12" t="s">
        <v>34</v>
      </c>
      <c r="F30" s="12" t="s">
        <v>35</v>
      </c>
      <c r="G30" s="12" t="s">
        <v>35</v>
      </c>
      <c r="H30" s="12" t="s">
        <v>35</v>
      </c>
      <c r="I30" s="11" t="s">
        <v>152</v>
      </c>
      <c r="J30" s="12" t="s">
        <v>153</v>
      </c>
      <c r="K30" s="13" t="s">
        <v>154</v>
      </c>
      <c r="L30" s="11" t="str">
        <f>"000019"</f>
        <v>000019</v>
      </c>
      <c r="M30" s="10">
        <v>43167</v>
      </c>
      <c r="N30" s="11" t="str">
        <f>"000030"</f>
        <v>000030</v>
      </c>
      <c r="O30" s="10">
        <v>43376</v>
      </c>
      <c r="P30" s="11" t="str">
        <f>"000173"</f>
        <v>000173</v>
      </c>
      <c r="Q30" s="10">
        <v>43376</v>
      </c>
      <c r="R30" s="11">
        <v>18</v>
      </c>
      <c r="S30" s="11" t="str">
        <f>"006932"</f>
        <v>006932</v>
      </c>
      <c r="T30" s="10">
        <v>43398</v>
      </c>
      <c r="U30" s="14">
        <v>4.9974999999999996</v>
      </c>
      <c r="V30" s="14">
        <v>0.49975000000000003</v>
      </c>
      <c r="W30" s="14">
        <v>4.4977499999999999</v>
      </c>
      <c r="X30" s="11">
        <v>233</v>
      </c>
      <c r="Y30" s="10">
        <v>43385</v>
      </c>
      <c r="Z30" s="11">
        <v>9916557576</v>
      </c>
      <c r="AA30" s="12" t="s">
        <v>78</v>
      </c>
      <c r="AB30" s="11" t="s">
        <v>94</v>
      </c>
      <c r="AC30" s="12" t="s">
        <v>95</v>
      </c>
      <c r="AD30" s="11" t="s">
        <v>81</v>
      </c>
      <c r="AE30" s="12" t="s">
        <v>82</v>
      </c>
      <c r="AF30" s="14">
        <f t="shared" si="0"/>
        <v>4.9974999999999999E-2</v>
      </c>
      <c r="AG30" s="11" t="s">
        <v>96</v>
      </c>
    </row>
    <row r="31" spans="1:33" x14ac:dyDescent="0.2">
      <c r="A31" s="8">
        <v>6280</v>
      </c>
      <c r="B31" s="9" t="s">
        <v>143</v>
      </c>
      <c r="C31" s="10">
        <v>43385</v>
      </c>
      <c r="D31" s="11">
        <v>174</v>
      </c>
      <c r="E31" s="12" t="s">
        <v>34</v>
      </c>
      <c r="F31" s="12" t="s">
        <v>35</v>
      </c>
      <c r="G31" s="12" t="s">
        <v>35</v>
      </c>
      <c r="H31" s="12" t="s">
        <v>35</v>
      </c>
      <c r="I31" s="11" t="s">
        <v>149</v>
      </c>
      <c r="J31" s="12" t="s">
        <v>150</v>
      </c>
      <c r="K31" s="13" t="s">
        <v>146</v>
      </c>
      <c r="L31" s="11" t="str">
        <f>"000023"</f>
        <v>000023</v>
      </c>
      <c r="M31" s="10">
        <v>43168</v>
      </c>
      <c r="N31" s="11" t="str">
        <f>"000049"</f>
        <v>000049</v>
      </c>
      <c r="O31" s="10">
        <v>43452</v>
      </c>
      <c r="P31" s="11" t="str">
        <f>"000217"</f>
        <v>000217</v>
      </c>
      <c r="Q31" s="10">
        <v>43452</v>
      </c>
      <c r="R31" s="11">
        <v>18</v>
      </c>
      <c r="S31" s="11" t="str">
        <f>"008608"</f>
        <v>008608</v>
      </c>
      <c r="T31" s="10">
        <v>43470</v>
      </c>
      <c r="U31" s="14">
        <v>646.71</v>
      </c>
      <c r="V31" s="14">
        <v>26.675999999999998</v>
      </c>
      <c r="W31" s="14">
        <v>620.03399999999999</v>
      </c>
      <c r="X31" s="11">
        <v>234</v>
      </c>
      <c r="Y31" s="10">
        <v>43385</v>
      </c>
      <c r="Z31" s="11">
        <v>9448907777</v>
      </c>
      <c r="AA31" s="12" t="s">
        <v>151</v>
      </c>
      <c r="AB31" s="11" t="s">
        <v>94</v>
      </c>
      <c r="AC31" s="12" t="s">
        <v>95</v>
      </c>
      <c r="AD31" s="11" t="s">
        <v>81</v>
      </c>
      <c r="AE31" s="12" t="s">
        <v>82</v>
      </c>
      <c r="AF31" s="14">
        <f t="shared" si="0"/>
        <v>6.4671000000000003</v>
      </c>
      <c r="AG31" s="11" t="s">
        <v>96</v>
      </c>
    </row>
    <row r="32" spans="1:33" x14ac:dyDescent="0.2">
      <c r="A32" s="8">
        <v>6281</v>
      </c>
      <c r="B32" s="9" t="s">
        <v>143</v>
      </c>
      <c r="C32" s="10">
        <v>43385</v>
      </c>
      <c r="D32" s="11">
        <v>174</v>
      </c>
      <c r="E32" s="12" t="s">
        <v>34</v>
      </c>
      <c r="F32" s="12" t="s">
        <v>35</v>
      </c>
      <c r="G32" s="12" t="s">
        <v>35</v>
      </c>
      <c r="H32" s="12" t="s">
        <v>35</v>
      </c>
      <c r="I32" s="11" t="s">
        <v>91</v>
      </c>
      <c r="J32" s="12" t="s">
        <v>92</v>
      </c>
      <c r="K32" s="13" t="s">
        <v>47</v>
      </c>
      <c r="L32" s="11" t="str">
        <f>"000007"</f>
        <v>000007</v>
      </c>
      <c r="M32" s="10">
        <v>43119</v>
      </c>
      <c r="N32" s="11" t="str">
        <f>"000021"</f>
        <v>000021</v>
      </c>
      <c r="O32" s="10">
        <v>43353</v>
      </c>
      <c r="P32" s="11" t="str">
        <f>"000132"</f>
        <v>000132</v>
      </c>
      <c r="Q32" s="10">
        <v>43353</v>
      </c>
      <c r="R32" s="11">
        <v>18</v>
      </c>
      <c r="S32" s="11" t="str">
        <f>"006618"</f>
        <v>006618</v>
      </c>
      <c r="T32" s="10">
        <v>43384</v>
      </c>
      <c r="U32" s="14">
        <v>38.68</v>
      </c>
      <c r="V32" s="14">
        <v>0.96899999999999997</v>
      </c>
      <c r="W32" s="14">
        <v>37.710999999999999</v>
      </c>
      <c r="X32" s="11">
        <v>234</v>
      </c>
      <c r="Y32" s="10">
        <v>43385</v>
      </c>
      <c r="Z32" s="11">
        <v>9964330099</v>
      </c>
      <c r="AA32" s="12" t="s">
        <v>93</v>
      </c>
      <c r="AB32" s="11" t="s">
        <v>94</v>
      </c>
      <c r="AC32" s="12" t="s">
        <v>95</v>
      </c>
      <c r="AD32" s="11" t="s">
        <v>81</v>
      </c>
      <c r="AE32" s="12" t="s">
        <v>82</v>
      </c>
      <c r="AF32" s="14">
        <f t="shared" si="0"/>
        <v>0.38679999999999998</v>
      </c>
      <c r="AG32" s="11" t="s">
        <v>96</v>
      </c>
    </row>
    <row r="33" spans="1:33" x14ac:dyDescent="0.2">
      <c r="A33" s="8">
        <v>6282</v>
      </c>
      <c r="B33" s="9" t="s">
        <v>143</v>
      </c>
      <c r="C33" s="10">
        <v>43385</v>
      </c>
      <c r="D33" s="11">
        <v>174</v>
      </c>
      <c r="E33" s="12" t="s">
        <v>34</v>
      </c>
      <c r="F33" s="12" t="s">
        <v>35</v>
      </c>
      <c r="G33" s="12" t="s">
        <v>35</v>
      </c>
      <c r="H33" s="12" t="s">
        <v>35</v>
      </c>
      <c r="I33" s="11" t="s">
        <v>155</v>
      </c>
      <c r="J33" s="12" t="s">
        <v>156</v>
      </c>
      <c r="K33" s="13" t="s">
        <v>146</v>
      </c>
      <c r="L33" s="11" t="str">
        <f>"000021"</f>
        <v>000021</v>
      </c>
      <c r="M33" s="10">
        <v>43167</v>
      </c>
      <c r="N33" s="11" t="str">
        <f>"000046"</f>
        <v>000046</v>
      </c>
      <c r="O33" s="10">
        <v>43448</v>
      </c>
      <c r="P33" s="11" t="str">
        <f>"000212"</f>
        <v>000212</v>
      </c>
      <c r="Q33" s="10">
        <v>43448</v>
      </c>
      <c r="R33" s="11">
        <v>18</v>
      </c>
      <c r="S33" s="11" t="str">
        <f>"008602"</f>
        <v>008602</v>
      </c>
      <c r="T33" s="10">
        <v>43470</v>
      </c>
      <c r="U33" s="14">
        <v>230</v>
      </c>
      <c r="V33" s="14">
        <v>5.94</v>
      </c>
      <c r="W33" s="14">
        <v>224.06</v>
      </c>
      <c r="X33" s="11">
        <v>234</v>
      </c>
      <c r="Y33" s="10">
        <v>43385</v>
      </c>
      <c r="Z33" s="11">
        <v>9964330099</v>
      </c>
      <c r="AA33" s="12" t="s">
        <v>157</v>
      </c>
      <c r="AB33" s="11" t="s">
        <v>94</v>
      </c>
      <c r="AC33" s="12" t="s">
        <v>95</v>
      </c>
      <c r="AD33" s="11" t="s">
        <v>81</v>
      </c>
      <c r="AE33" s="12" t="s">
        <v>82</v>
      </c>
      <c r="AF33" s="14">
        <f t="shared" si="0"/>
        <v>2.2999999999999998</v>
      </c>
      <c r="AG33" s="11" t="s">
        <v>96</v>
      </c>
    </row>
    <row r="34" spans="1:33" x14ac:dyDescent="0.2">
      <c r="A34" s="8">
        <v>6648</v>
      </c>
      <c r="B34" s="9" t="s">
        <v>143</v>
      </c>
      <c r="C34" s="10">
        <v>43389</v>
      </c>
      <c r="D34" s="11">
        <v>174</v>
      </c>
      <c r="E34" s="12" t="s">
        <v>34</v>
      </c>
      <c r="F34" s="12" t="s">
        <v>35</v>
      </c>
      <c r="G34" s="12" t="s">
        <v>35</v>
      </c>
      <c r="H34" s="12" t="s">
        <v>35</v>
      </c>
      <c r="I34" s="11" t="s">
        <v>158</v>
      </c>
      <c r="J34" s="12" t="s">
        <v>159</v>
      </c>
      <c r="K34" s="13" t="s">
        <v>38</v>
      </c>
      <c r="L34" s="11" t="str">
        <f>"000012"</f>
        <v>000012</v>
      </c>
      <c r="M34" s="10">
        <v>43130</v>
      </c>
      <c r="N34" s="11" t="str">
        <f>"000026"</f>
        <v>000026</v>
      </c>
      <c r="O34" s="10">
        <v>43361</v>
      </c>
      <c r="P34" s="11" t="str">
        <f>"000156"</f>
        <v>000156</v>
      </c>
      <c r="Q34" s="10">
        <v>43361</v>
      </c>
      <c r="R34" s="11">
        <v>18</v>
      </c>
      <c r="S34" s="11" t="str">
        <f>"006671"</f>
        <v>006671</v>
      </c>
      <c r="T34" s="10">
        <v>43388</v>
      </c>
      <c r="U34" s="14">
        <v>382.98</v>
      </c>
      <c r="V34" s="14">
        <v>9.1630000000000003</v>
      </c>
      <c r="W34" s="14">
        <v>373.81700000000001</v>
      </c>
      <c r="X34" s="11">
        <v>235</v>
      </c>
      <c r="Y34" s="10">
        <v>43389</v>
      </c>
      <c r="Z34" s="11">
        <v>9036304747</v>
      </c>
      <c r="AA34" s="12" t="s">
        <v>160</v>
      </c>
      <c r="AB34" s="11" t="s">
        <v>94</v>
      </c>
      <c r="AC34" s="12" t="s">
        <v>95</v>
      </c>
      <c r="AD34" s="11" t="s">
        <v>81</v>
      </c>
      <c r="AE34" s="12" t="s">
        <v>82</v>
      </c>
      <c r="AF34" s="14">
        <f t="shared" si="0"/>
        <v>3.8298000000000001</v>
      </c>
      <c r="AG34" s="11" t="s">
        <v>96</v>
      </c>
    </row>
    <row r="35" spans="1:33" x14ac:dyDescent="0.2">
      <c r="A35" s="8">
        <v>6884</v>
      </c>
      <c r="B35" s="9" t="s">
        <v>143</v>
      </c>
      <c r="C35" s="10">
        <v>43399</v>
      </c>
      <c r="D35" s="11">
        <v>174</v>
      </c>
      <c r="E35" s="12" t="s">
        <v>34</v>
      </c>
      <c r="F35" s="12" t="s">
        <v>35</v>
      </c>
      <c r="G35" s="12" t="s">
        <v>35</v>
      </c>
      <c r="H35" s="12" t="s">
        <v>35</v>
      </c>
      <c r="I35" s="11" t="s">
        <v>152</v>
      </c>
      <c r="J35" s="12" t="s">
        <v>153</v>
      </c>
      <c r="K35" s="13" t="s">
        <v>146</v>
      </c>
      <c r="L35" s="11" t="str">
        <f>"000019"</f>
        <v>000019</v>
      </c>
      <c r="M35" s="10">
        <v>43167</v>
      </c>
      <c r="N35" s="11" t="str">
        <f>"000030"</f>
        <v>000030</v>
      </c>
      <c r="O35" s="10">
        <v>43376</v>
      </c>
      <c r="P35" s="11" t="str">
        <f>"000173"</f>
        <v>000173</v>
      </c>
      <c r="Q35" s="10">
        <v>43376</v>
      </c>
      <c r="R35" s="11">
        <v>18</v>
      </c>
      <c r="S35" s="11" t="str">
        <f>"006932"</f>
        <v>006932</v>
      </c>
      <c r="T35" s="10">
        <v>43398</v>
      </c>
      <c r="U35" s="14">
        <v>73.290000000000006</v>
      </c>
      <c r="V35" s="14">
        <v>6.7737600000000002</v>
      </c>
      <c r="W35" s="14">
        <v>66.516239999999996</v>
      </c>
      <c r="X35" s="11">
        <v>250</v>
      </c>
      <c r="Y35" s="10">
        <v>43399</v>
      </c>
      <c r="Z35" s="11">
        <v>9448525076</v>
      </c>
      <c r="AA35" s="12" t="s">
        <v>161</v>
      </c>
      <c r="AB35" s="11" t="s">
        <v>94</v>
      </c>
      <c r="AC35" s="12" t="s">
        <v>95</v>
      </c>
      <c r="AD35" s="11" t="s">
        <v>81</v>
      </c>
      <c r="AE35" s="12" t="s">
        <v>82</v>
      </c>
      <c r="AF35" s="14">
        <f t="shared" si="0"/>
        <v>0.73290000000000011</v>
      </c>
      <c r="AG35" s="11" t="s">
        <v>96</v>
      </c>
    </row>
    <row r="36" spans="1:33" x14ac:dyDescent="0.2">
      <c r="A36" s="8">
        <v>7357</v>
      </c>
      <c r="B36" s="9" t="s">
        <v>162</v>
      </c>
      <c r="C36" s="10">
        <v>43424</v>
      </c>
      <c r="D36" s="11">
        <v>174</v>
      </c>
      <c r="E36" s="12" t="s">
        <v>34</v>
      </c>
      <c r="F36" s="12" t="s">
        <v>35</v>
      </c>
      <c r="G36" s="12" t="s">
        <v>35</v>
      </c>
      <c r="H36" s="12" t="s">
        <v>35</v>
      </c>
      <c r="I36" s="11" t="s">
        <v>163</v>
      </c>
      <c r="J36" s="12" t="s">
        <v>164</v>
      </c>
      <c r="K36" s="13" t="s">
        <v>165</v>
      </c>
      <c r="L36" s="11" t="str">
        <f>"000043"</f>
        <v>000043</v>
      </c>
      <c r="M36" s="10">
        <v>43341</v>
      </c>
      <c r="N36" s="11" t="str">
        <f>"000045"</f>
        <v>000045</v>
      </c>
      <c r="O36" s="10">
        <v>43347</v>
      </c>
      <c r="P36" s="11" t="str">
        <f>"000115"</f>
        <v>000115</v>
      </c>
      <c r="Q36" s="10">
        <v>43347</v>
      </c>
      <c r="R36" s="11">
        <v>18</v>
      </c>
      <c r="S36" s="11" t="str">
        <f>"007201"</f>
        <v>007201</v>
      </c>
      <c r="T36" s="10">
        <v>43404</v>
      </c>
      <c r="U36" s="14">
        <v>3.4910999999999999</v>
      </c>
      <c r="V36" s="14">
        <v>0.30625999999999998</v>
      </c>
      <c r="W36" s="14">
        <v>3.1848399999999999</v>
      </c>
      <c r="X36" s="11">
        <v>271</v>
      </c>
      <c r="Y36" s="10">
        <v>43424</v>
      </c>
      <c r="Z36" s="11">
        <v>9999999999</v>
      </c>
      <c r="AA36" s="12" t="s">
        <v>147</v>
      </c>
      <c r="AB36" s="11" t="s">
        <v>94</v>
      </c>
      <c r="AC36" s="12" t="s">
        <v>95</v>
      </c>
      <c r="AD36" s="11" t="s">
        <v>42</v>
      </c>
      <c r="AE36" s="12" t="s">
        <v>43</v>
      </c>
      <c r="AF36" s="14">
        <f t="shared" si="0"/>
        <v>3.4910999999999998E-2</v>
      </c>
      <c r="AG36" s="11" t="s">
        <v>148</v>
      </c>
    </row>
    <row r="37" spans="1:33" x14ac:dyDescent="0.2">
      <c r="A37" s="8">
        <v>7889</v>
      </c>
      <c r="B37" s="9" t="s">
        <v>166</v>
      </c>
      <c r="C37" s="10">
        <v>43453</v>
      </c>
      <c r="D37" s="11">
        <v>174</v>
      </c>
      <c r="E37" s="12" t="s">
        <v>34</v>
      </c>
      <c r="F37" s="12" t="s">
        <v>35</v>
      </c>
      <c r="G37" s="12" t="s">
        <v>35</v>
      </c>
      <c r="H37" s="12" t="s">
        <v>35</v>
      </c>
      <c r="I37" s="11" t="s">
        <v>167</v>
      </c>
      <c r="J37" s="12" t="s">
        <v>168</v>
      </c>
      <c r="K37" s="13" t="s">
        <v>169</v>
      </c>
      <c r="L37" s="11" t="str">
        <f>"000239"</f>
        <v>000239</v>
      </c>
      <c r="M37" s="10">
        <v>43186</v>
      </c>
      <c r="N37" s="11" t="str">
        <f>"000052"</f>
        <v>000052</v>
      </c>
      <c r="O37" s="10">
        <v>43386</v>
      </c>
      <c r="P37" s="11" t="str">
        <f>"000141"</f>
        <v>000141</v>
      </c>
      <c r="Q37" s="10">
        <v>43386</v>
      </c>
      <c r="R37" s="11">
        <v>17</v>
      </c>
      <c r="S37" s="11" t="str">
        <f>"008064"</f>
        <v>008064</v>
      </c>
      <c r="T37" s="10">
        <v>43451</v>
      </c>
      <c r="U37" s="14">
        <v>8.09</v>
      </c>
      <c r="V37" s="14">
        <v>0.77010999999999996</v>
      </c>
      <c r="W37" s="14">
        <v>7.31989</v>
      </c>
      <c r="X37" s="11">
        <v>296</v>
      </c>
      <c r="Y37" s="10">
        <v>43453</v>
      </c>
      <c r="Z37" s="11">
        <v>9449635843</v>
      </c>
      <c r="AA37" s="12" t="s">
        <v>170</v>
      </c>
      <c r="AB37" s="11" t="s">
        <v>79</v>
      </c>
      <c r="AC37" s="12" t="s">
        <v>80</v>
      </c>
      <c r="AD37" s="11" t="s">
        <v>42</v>
      </c>
      <c r="AE37" s="12" t="s">
        <v>43</v>
      </c>
      <c r="AF37" s="14">
        <f t="shared" si="0"/>
        <v>8.09E-2</v>
      </c>
      <c r="AG37" s="11" t="s">
        <v>96</v>
      </c>
    </row>
    <row r="38" spans="1:33" x14ac:dyDescent="0.2">
      <c r="A38" s="8">
        <v>8067</v>
      </c>
      <c r="B38" s="9" t="s">
        <v>166</v>
      </c>
      <c r="C38" s="10">
        <v>43455</v>
      </c>
      <c r="D38" s="11">
        <v>174</v>
      </c>
      <c r="E38" s="12" t="s">
        <v>34</v>
      </c>
      <c r="F38" s="12" t="s">
        <v>35</v>
      </c>
      <c r="G38" s="12" t="s">
        <v>35</v>
      </c>
      <c r="H38" s="12" t="s">
        <v>35</v>
      </c>
      <c r="I38" s="11" t="s">
        <v>171</v>
      </c>
      <c r="J38" s="12" t="s">
        <v>172</v>
      </c>
      <c r="K38" s="13" t="s">
        <v>173</v>
      </c>
      <c r="L38" s="11" t="str">
        <f>"00041A"</f>
        <v>00041A</v>
      </c>
      <c r="M38" s="10">
        <v>42916</v>
      </c>
      <c r="N38" s="11" t="str">
        <f>"000087"</f>
        <v>000087</v>
      </c>
      <c r="O38" s="10">
        <v>42916</v>
      </c>
      <c r="P38" s="11" t="str">
        <f>"000095"</f>
        <v>000095</v>
      </c>
      <c r="Q38" s="10">
        <v>42916</v>
      </c>
      <c r="R38" s="11">
        <v>16</v>
      </c>
      <c r="S38" s="11" t="str">
        <f>"008103"</f>
        <v>008103</v>
      </c>
      <c r="T38" s="10">
        <v>43454</v>
      </c>
      <c r="U38" s="14">
        <v>4.96868</v>
      </c>
      <c r="V38" s="14">
        <v>0.39217999999999997</v>
      </c>
      <c r="W38" s="14">
        <v>4.5765000000000002</v>
      </c>
      <c r="X38" s="11">
        <v>301</v>
      </c>
      <c r="Y38" s="10">
        <v>43455</v>
      </c>
      <c r="Z38" s="11">
        <v>9845652652</v>
      </c>
      <c r="AA38" s="12" t="s">
        <v>174</v>
      </c>
      <c r="AB38" s="11" t="s">
        <v>141</v>
      </c>
      <c r="AC38" s="12" t="s">
        <v>142</v>
      </c>
      <c r="AD38" s="11" t="s">
        <v>42</v>
      </c>
      <c r="AE38" s="12" t="s">
        <v>43</v>
      </c>
      <c r="AF38" s="14">
        <f t="shared" si="0"/>
        <v>4.9686800000000003E-2</v>
      </c>
      <c r="AG38" s="11" t="s">
        <v>44</v>
      </c>
    </row>
    <row r="39" spans="1:33" x14ac:dyDescent="0.2">
      <c r="A39" s="8">
        <v>8414</v>
      </c>
      <c r="B39" s="9" t="s">
        <v>175</v>
      </c>
      <c r="C39" s="10">
        <v>43469</v>
      </c>
      <c r="D39" s="11">
        <v>174</v>
      </c>
      <c r="E39" s="12" t="s">
        <v>34</v>
      </c>
      <c r="F39" s="12" t="s">
        <v>35</v>
      </c>
      <c r="G39" s="12" t="s">
        <v>35</v>
      </c>
      <c r="H39" s="12" t="s">
        <v>35</v>
      </c>
      <c r="I39" s="11" t="s">
        <v>176</v>
      </c>
      <c r="J39" s="12" t="s">
        <v>177</v>
      </c>
      <c r="K39" s="13" t="s">
        <v>47</v>
      </c>
      <c r="L39" s="11" t="str">
        <f>"000029"</f>
        <v>000029</v>
      </c>
      <c r="M39" s="10">
        <v>43287</v>
      </c>
      <c r="N39" s="11" t="str">
        <f>"000081"</f>
        <v>000081</v>
      </c>
      <c r="O39" s="10">
        <v>43441</v>
      </c>
      <c r="P39" s="11" t="str">
        <f>"000181"</f>
        <v>000181</v>
      </c>
      <c r="Q39" s="10">
        <v>43443</v>
      </c>
      <c r="R39" s="11"/>
      <c r="S39" s="11" t="str">
        <f>"008512"</f>
        <v>008512</v>
      </c>
      <c r="T39" s="10">
        <v>43468</v>
      </c>
      <c r="U39" s="14">
        <v>1462.61023</v>
      </c>
      <c r="V39" s="14">
        <v>66.616690000000006</v>
      </c>
      <c r="W39" s="14">
        <v>1395.9935399999999</v>
      </c>
      <c r="X39" s="11">
        <v>314</v>
      </c>
      <c r="Y39" s="10">
        <v>43469</v>
      </c>
      <c r="Z39" s="11">
        <v>9448067114</v>
      </c>
      <c r="AA39" s="12" t="s">
        <v>178</v>
      </c>
      <c r="AB39" s="11" t="s">
        <v>179</v>
      </c>
      <c r="AC39" s="12" t="s">
        <v>180</v>
      </c>
      <c r="AD39" s="11" t="s">
        <v>42</v>
      </c>
      <c r="AE39" s="12" t="s">
        <v>43</v>
      </c>
      <c r="AF39" s="14">
        <f t="shared" si="0"/>
        <v>14.626102299999999</v>
      </c>
      <c r="AG39" s="11" t="s">
        <v>148</v>
      </c>
    </row>
    <row r="40" spans="1:33" x14ac:dyDescent="0.2">
      <c r="A40" s="8">
        <v>8475</v>
      </c>
      <c r="B40" s="9" t="s">
        <v>175</v>
      </c>
      <c r="C40" s="10">
        <v>43472</v>
      </c>
      <c r="D40" s="11">
        <v>174</v>
      </c>
      <c r="E40" s="12" t="s">
        <v>34</v>
      </c>
      <c r="F40" s="12" t="s">
        <v>35</v>
      </c>
      <c r="G40" s="12" t="s">
        <v>35</v>
      </c>
      <c r="H40" s="12" t="s">
        <v>35</v>
      </c>
      <c r="I40" s="11" t="s">
        <v>155</v>
      </c>
      <c r="J40" s="12" t="s">
        <v>156</v>
      </c>
      <c r="K40" s="13" t="s">
        <v>154</v>
      </c>
      <c r="L40" s="11" t="str">
        <f>"000021"</f>
        <v>000021</v>
      </c>
      <c r="M40" s="10">
        <v>43167</v>
      </c>
      <c r="N40" s="11" t="str">
        <f>"000046"</f>
        <v>000046</v>
      </c>
      <c r="O40" s="10">
        <v>43448</v>
      </c>
      <c r="P40" s="11" t="str">
        <f>"000212"</f>
        <v>000212</v>
      </c>
      <c r="Q40" s="10">
        <v>43448</v>
      </c>
      <c r="R40" s="11"/>
      <c r="S40" s="11" t="str">
        <f>"008602"</f>
        <v>008602</v>
      </c>
      <c r="T40" s="10">
        <v>43470</v>
      </c>
      <c r="U40" s="14">
        <v>45.95</v>
      </c>
      <c r="V40" s="14">
        <v>2.02054</v>
      </c>
      <c r="W40" s="14">
        <v>43.929459999999999</v>
      </c>
      <c r="X40" s="11">
        <v>317</v>
      </c>
      <c r="Y40" s="10">
        <v>43472</v>
      </c>
      <c r="Z40" s="11">
        <v>9964330099</v>
      </c>
      <c r="AA40" s="12" t="s">
        <v>157</v>
      </c>
      <c r="AB40" s="11" t="s">
        <v>94</v>
      </c>
      <c r="AC40" s="12" t="s">
        <v>95</v>
      </c>
      <c r="AD40" s="11" t="s">
        <v>81</v>
      </c>
      <c r="AE40" s="12" t="s">
        <v>82</v>
      </c>
      <c r="AF40" s="14">
        <f t="shared" si="0"/>
        <v>0.45950000000000002</v>
      </c>
      <c r="AG40" s="11" t="s">
        <v>96</v>
      </c>
    </row>
    <row r="41" spans="1:33" x14ac:dyDescent="0.2">
      <c r="A41" s="8">
        <v>8480</v>
      </c>
      <c r="B41" s="9" t="s">
        <v>175</v>
      </c>
      <c r="C41" s="10">
        <v>43472</v>
      </c>
      <c r="D41" s="11">
        <v>174</v>
      </c>
      <c r="E41" s="12" t="s">
        <v>34</v>
      </c>
      <c r="F41" s="12" t="s">
        <v>35</v>
      </c>
      <c r="G41" s="12" t="s">
        <v>35</v>
      </c>
      <c r="H41" s="12" t="s">
        <v>35</v>
      </c>
      <c r="I41" s="11" t="s">
        <v>149</v>
      </c>
      <c r="J41" s="12" t="s">
        <v>150</v>
      </c>
      <c r="K41" s="13" t="s">
        <v>146</v>
      </c>
      <c r="L41" s="11" t="str">
        <f>"000023"</f>
        <v>000023</v>
      </c>
      <c r="M41" s="10">
        <v>43168</v>
      </c>
      <c r="N41" s="11" t="str">
        <f>"000049"</f>
        <v>000049</v>
      </c>
      <c r="O41" s="10">
        <v>43452</v>
      </c>
      <c r="P41" s="11" t="str">
        <f>"000217"</f>
        <v>000217</v>
      </c>
      <c r="Q41" s="10">
        <v>43452</v>
      </c>
      <c r="R41" s="11"/>
      <c r="S41" s="11" t="str">
        <f>"008608"</f>
        <v>008608</v>
      </c>
      <c r="T41" s="10">
        <v>43470</v>
      </c>
      <c r="U41" s="14">
        <v>103.37</v>
      </c>
      <c r="V41" s="14">
        <v>5.5189000000000004</v>
      </c>
      <c r="W41" s="14">
        <v>97.851100000000002</v>
      </c>
      <c r="X41" s="11">
        <v>317</v>
      </c>
      <c r="Y41" s="10">
        <v>43472</v>
      </c>
      <c r="Z41" s="11">
        <v>9448907777</v>
      </c>
      <c r="AA41" s="12" t="s">
        <v>151</v>
      </c>
      <c r="AB41" s="11" t="s">
        <v>94</v>
      </c>
      <c r="AC41" s="12" t="s">
        <v>95</v>
      </c>
      <c r="AD41" s="11" t="s">
        <v>81</v>
      </c>
      <c r="AE41" s="12" t="s">
        <v>82</v>
      </c>
      <c r="AF41" s="14">
        <f t="shared" si="0"/>
        <v>1.0337000000000001</v>
      </c>
      <c r="AG41" s="11" t="s">
        <v>96</v>
      </c>
    </row>
    <row r="42" spans="1:33" x14ac:dyDescent="0.2">
      <c r="A42" s="8">
        <v>8481</v>
      </c>
      <c r="B42" s="9" t="s">
        <v>175</v>
      </c>
      <c r="C42" s="10">
        <v>43472</v>
      </c>
      <c r="D42" s="11">
        <v>174</v>
      </c>
      <c r="E42" s="12" t="s">
        <v>34</v>
      </c>
      <c r="F42" s="12" t="s">
        <v>35</v>
      </c>
      <c r="G42" s="12" t="s">
        <v>35</v>
      </c>
      <c r="H42" s="12" t="s">
        <v>35</v>
      </c>
      <c r="I42" s="11" t="s">
        <v>149</v>
      </c>
      <c r="J42" s="12" t="s">
        <v>150</v>
      </c>
      <c r="K42" s="13" t="s">
        <v>146</v>
      </c>
      <c r="L42" s="11" t="str">
        <f>"000023"</f>
        <v>000023</v>
      </c>
      <c r="M42" s="10">
        <v>43168</v>
      </c>
      <c r="N42" s="11" t="str">
        <f>"000049"</f>
        <v>000049</v>
      </c>
      <c r="O42" s="10">
        <v>43452</v>
      </c>
      <c r="P42" s="11" t="str">
        <f>"000217"</f>
        <v>000217</v>
      </c>
      <c r="Q42" s="10">
        <v>43452</v>
      </c>
      <c r="R42" s="11"/>
      <c r="S42" s="11" t="str">
        <f>"008608"</f>
        <v>008608</v>
      </c>
      <c r="T42" s="10">
        <v>43470</v>
      </c>
      <c r="U42" s="14">
        <v>58.35</v>
      </c>
      <c r="V42" s="14">
        <v>3.2549600000000001</v>
      </c>
      <c r="W42" s="14">
        <v>55.095039999999997</v>
      </c>
      <c r="X42" s="11">
        <v>317</v>
      </c>
      <c r="Y42" s="10">
        <v>43472</v>
      </c>
      <c r="Z42" s="11">
        <v>9448907777</v>
      </c>
      <c r="AA42" s="12" t="s">
        <v>151</v>
      </c>
      <c r="AB42" s="11" t="s">
        <v>94</v>
      </c>
      <c r="AC42" s="12" t="s">
        <v>95</v>
      </c>
      <c r="AD42" s="11" t="s">
        <v>81</v>
      </c>
      <c r="AE42" s="12" t="s">
        <v>82</v>
      </c>
      <c r="AF42" s="14">
        <f t="shared" si="0"/>
        <v>0.58350000000000002</v>
      </c>
      <c r="AG42" s="11" t="s">
        <v>96</v>
      </c>
    </row>
    <row r="43" spans="1:33" x14ac:dyDescent="0.2">
      <c r="A43" s="8">
        <v>8702</v>
      </c>
      <c r="B43" s="9" t="s">
        <v>175</v>
      </c>
      <c r="C43" s="10">
        <v>43486</v>
      </c>
      <c r="D43" s="11">
        <v>174</v>
      </c>
      <c r="E43" s="12" t="s">
        <v>34</v>
      </c>
      <c r="F43" s="12" t="s">
        <v>35</v>
      </c>
      <c r="G43" s="12" t="s">
        <v>35</v>
      </c>
      <c r="H43" s="12" t="s">
        <v>35</v>
      </c>
      <c r="I43" s="11" t="s">
        <v>75</v>
      </c>
      <c r="J43" s="12" t="s">
        <v>76</v>
      </c>
      <c r="K43" s="13" t="s">
        <v>146</v>
      </c>
      <c r="L43" s="11" t="str">
        <f>"000003"</f>
        <v>000003</v>
      </c>
      <c r="M43" s="10">
        <v>43091</v>
      </c>
      <c r="N43" s="11" t="str">
        <f>"000007"</f>
        <v>000007</v>
      </c>
      <c r="O43" s="10">
        <v>43091</v>
      </c>
      <c r="P43" s="11" t="str">
        <f>"000067"</f>
        <v>000067</v>
      </c>
      <c r="Q43" s="10">
        <v>43092</v>
      </c>
      <c r="R43" s="11"/>
      <c r="S43" s="11" t="str">
        <f>"008808"</f>
        <v>008808</v>
      </c>
      <c r="T43" s="10">
        <v>43102</v>
      </c>
      <c r="U43" s="14">
        <v>3.33</v>
      </c>
      <c r="V43" s="14">
        <v>0.39245999999999998</v>
      </c>
      <c r="W43" s="14">
        <v>2.9375399999999998</v>
      </c>
      <c r="X43" s="11">
        <v>330</v>
      </c>
      <c r="Y43" s="10">
        <v>43486</v>
      </c>
      <c r="Z43" s="11">
        <v>9916557576</v>
      </c>
      <c r="AA43" s="12" t="s">
        <v>78</v>
      </c>
      <c r="AB43" s="11" t="s">
        <v>79</v>
      </c>
      <c r="AC43" s="12" t="s">
        <v>80</v>
      </c>
      <c r="AD43" s="11" t="s">
        <v>81</v>
      </c>
      <c r="AE43" s="12" t="s">
        <v>82</v>
      </c>
      <c r="AF43" s="14">
        <f t="shared" si="0"/>
        <v>3.3300000000000003E-2</v>
      </c>
      <c r="AG43" s="11" t="s">
        <v>44</v>
      </c>
    </row>
    <row r="44" spans="1:33" x14ac:dyDescent="0.2">
      <c r="A44" s="8">
        <v>8769</v>
      </c>
      <c r="B44" s="9" t="s">
        <v>175</v>
      </c>
      <c r="C44" s="10">
        <v>43486</v>
      </c>
      <c r="D44" s="11">
        <v>174</v>
      </c>
      <c r="E44" s="12" t="s">
        <v>34</v>
      </c>
      <c r="F44" s="12" t="s">
        <v>35</v>
      </c>
      <c r="G44" s="12" t="s">
        <v>35</v>
      </c>
      <c r="H44" s="12" t="s">
        <v>35</v>
      </c>
      <c r="I44" s="11" t="s">
        <v>149</v>
      </c>
      <c r="J44" s="12" t="s">
        <v>150</v>
      </c>
      <c r="K44" s="13" t="s">
        <v>146</v>
      </c>
      <c r="L44" s="11" t="str">
        <f>"000023"</f>
        <v>000023</v>
      </c>
      <c r="M44" s="10">
        <v>43168</v>
      </c>
      <c r="N44" s="11" t="str">
        <f>"000049"</f>
        <v>000049</v>
      </c>
      <c r="O44" s="10">
        <v>43452</v>
      </c>
      <c r="P44" s="11" t="str">
        <f>"000217"</f>
        <v>000217</v>
      </c>
      <c r="Q44" s="10">
        <v>43452</v>
      </c>
      <c r="R44" s="11"/>
      <c r="S44" s="11" t="str">
        <f>"008608"</f>
        <v>008608</v>
      </c>
      <c r="T44" s="10">
        <v>43470</v>
      </c>
      <c r="U44" s="14">
        <v>19.125</v>
      </c>
      <c r="V44" s="14">
        <v>1.9125000000000001</v>
      </c>
      <c r="W44" s="14">
        <v>17.212499999999999</v>
      </c>
      <c r="X44" s="11">
        <v>331</v>
      </c>
      <c r="Y44" s="10">
        <v>43486</v>
      </c>
      <c r="Z44" s="11">
        <v>9916557576</v>
      </c>
      <c r="AA44" s="12" t="s">
        <v>181</v>
      </c>
      <c r="AB44" s="11" t="s">
        <v>94</v>
      </c>
      <c r="AC44" s="12" t="s">
        <v>95</v>
      </c>
      <c r="AD44" s="11" t="s">
        <v>81</v>
      </c>
      <c r="AE44" s="12" t="s">
        <v>82</v>
      </c>
      <c r="AF44" s="14">
        <f t="shared" si="0"/>
        <v>0.19125</v>
      </c>
      <c r="AG44" s="11" t="s">
        <v>96</v>
      </c>
    </row>
    <row r="45" spans="1:33" x14ac:dyDescent="0.2">
      <c r="A45" s="8">
        <v>8770</v>
      </c>
      <c r="B45" s="9" t="s">
        <v>175</v>
      </c>
      <c r="C45" s="10">
        <v>43486</v>
      </c>
      <c r="D45" s="11">
        <v>174</v>
      </c>
      <c r="E45" s="12" t="s">
        <v>34</v>
      </c>
      <c r="F45" s="12" t="s">
        <v>35</v>
      </c>
      <c r="G45" s="12" t="s">
        <v>35</v>
      </c>
      <c r="H45" s="12" t="s">
        <v>35</v>
      </c>
      <c r="I45" s="11" t="s">
        <v>152</v>
      </c>
      <c r="J45" s="12" t="s">
        <v>153</v>
      </c>
      <c r="K45" s="13" t="s">
        <v>154</v>
      </c>
      <c r="L45" s="11" t="str">
        <f>"000019"</f>
        <v>000019</v>
      </c>
      <c r="M45" s="10">
        <v>43167</v>
      </c>
      <c r="N45" s="11" t="str">
        <f>"000030"</f>
        <v>000030</v>
      </c>
      <c r="O45" s="10">
        <v>43376</v>
      </c>
      <c r="P45" s="11" t="str">
        <f>"000173"</f>
        <v>000173</v>
      </c>
      <c r="Q45" s="10">
        <v>43376</v>
      </c>
      <c r="R45" s="11"/>
      <c r="S45" s="11" t="str">
        <f>"006932"</f>
        <v>006932</v>
      </c>
      <c r="T45" s="10">
        <v>43398</v>
      </c>
      <c r="U45" s="14">
        <v>9.9949999999999992</v>
      </c>
      <c r="V45" s="14">
        <v>0.99950000000000006</v>
      </c>
      <c r="W45" s="14">
        <v>8.9954999999999998</v>
      </c>
      <c r="X45" s="11">
        <v>331</v>
      </c>
      <c r="Y45" s="10">
        <v>43486</v>
      </c>
      <c r="Z45" s="11">
        <v>9916557576</v>
      </c>
      <c r="AA45" s="12" t="s">
        <v>78</v>
      </c>
      <c r="AB45" s="11" t="s">
        <v>94</v>
      </c>
      <c r="AC45" s="12" t="s">
        <v>95</v>
      </c>
      <c r="AD45" s="11" t="s">
        <v>81</v>
      </c>
      <c r="AE45" s="12" t="s">
        <v>82</v>
      </c>
      <c r="AF45" s="14">
        <f t="shared" si="0"/>
        <v>9.9949999999999997E-2</v>
      </c>
      <c r="AG45" s="11" t="s">
        <v>96</v>
      </c>
    </row>
    <row r="46" spans="1:33" x14ac:dyDescent="0.2">
      <c r="A46" s="8">
        <v>8833</v>
      </c>
      <c r="B46" s="9" t="s">
        <v>175</v>
      </c>
      <c r="C46" s="10">
        <v>43494</v>
      </c>
      <c r="D46" s="11">
        <v>174</v>
      </c>
      <c r="E46" s="12" t="s">
        <v>34</v>
      </c>
      <c r="F46" s="12" t="s">
        <v>35</v>
      </c>
      <c r="G46" s="12" t="s">
        <v>35</v>
      </c>
      <c r="H46" s="12" t="s">
        <v>35</v>
      </c>
      <c r="I46" s="11" t="s">
        <v>182</v>
      </c>
      <c r="J46" s="12" t="s">
        <v>183</v>
      </c>
      <c r="K46" s="13" t="s">
        <v>47</v>
      </c>
      <c r="L46" s="11" t="str">
        <f>"000112"</f>
        <v>000112</v>
      </c>
      <c r="M46" s="10">
        <v>43129</v>
      </c>
      <c r="N46" s="11" t="str">
        <f>"000084"</f>
        <v>000084</v>
      </c>
      <c r="O46" s="10">
        <v>43449</v>
      </c>
      <c r="P46" s="11" t="str">
        <f>"000187"</f>
        <v>000187</v>
      </c>
      <c r="Q46" s="10">
        <v>43449</v>
      </c>
      <c r="R46" s="11"/>
      <c r="S46" s="11" t="str">
        <f>"009019"</f>
        <v>009019</v>
      </c>
      <c r="T46" s="10">
        <v>43490</v>
      </c>
      <c r="U46" s="14">
        <v>24.519439999999999</v>
      </c>
      <c r="V46" s="14">
        <v>2.5451000000000001</v>
      </c>
      <c r="W46" s="14">
        <v>21.974340000000002</v>
      </c>
      <c r="X46" s="11">
        <v>335</v>
      </c>
      <c r="Y46" s="10">
        <v>43494</v>
      </c>
      <c r="Z46" s="11">
        <v>9986072837</v>
      </c>
      <c r="AA46" s="12" t="s">
        <v>184</v>
      </c>
      <c r="AB46" s="11" t="s">
        <v>179</v>
      </c>
      <c r="AC46" s="12" t="s">
        <v>180</v>
      </c>
      <c r="AD46" s="11" t="s">
        <v>42</v>
      </c>
      <c r="AE46" s="12" t="s">
        <v>43</v>
      </c>
      <c r="AF46" s="14">
        <f t="shared" si="0"/>
        <v>0.24519440000000001</v>
      </c>
      <c r="AG46" s="11" t="s">
        <v>96</v>
      </c>
    </row>
    <row r="47" spans="1:33" x14ac:dyDescent="0.2">
      <c r="A47" s="8">
        <v>8834</v>
      </c>
      <c r="B47" s="9" t="s">
        <v>175</v>
      </c>
      <c r="C47" s="10">
        <v>43494</v>
      </c>
      <c r="D47" s="11">
        <v>174</v>
      </c>
      <c r="E47" s="12" t="s">
        <v>34</v>
      </c>
      <c r="F47" s="12" t="s">
        <v>35</v>
      </c>
      <c r="G47" s="12" t="s">
        <v>35</v>
      </c>
      <c r="H47" s="12" t="s">
        <v>35</v>
      </c>
      <c r="I47" s="11" t="s">
        <v>185</v>
      </c>
      <c r="J47" s="12" t="s">
        <v>186</v>
      </c>
      <c r="K47" s="13" t="s">
        <v>47</v>
      </c>
      <c r="L47" s="11" t="str">
        <f>"000113"</f>
        <v>000113</v>
      </c>
      <c r="M47" s="10">
        <v>43129</v>
      </c>
      <c r="N47" s="11" t="str">
        <f>"000085"</f>
        <v>000085</v>
      </c>
      <c r="O47" s="10">
        <v>43449</v>
      </c>
      <c r="P47" s="11" t="str">
        <f>"000185"</f>
        <v>000185</v>
      </c>
      <c r="Q47" s="10">
        <v>43449</v>
      </c>
      <c r="R47" s="11"/>
      <c r="S47" s="11" t="str">
        <f>"009020"</f>
        <v>009020</v>
      </c>
      <c r="T47" s="10">
        <v>43490</v>
      </c>
      <c r="U47" s="14">
        <v>26.303450000000002</v>
      </c>
      <c r="V47" s="14">
        <v>2.73027</v>
      </c>
      <c r="W47" s="14">
        <v>23.573180000000001</v>
      </c>
      <c r="X47" s="11">
        <v>335</v>
      </c>
      <c r="Y47" s="10">
        <v>43494</v>
      </c>
      <c r="Z47" s="11">
        <v>9986072837</v>
      </c>
      <c r="AA47" s="12" t="s">
        <v>184</v>
      </c>
      <c r="AB47" s="11" t="s">
        <v>179</v>
      </c>
      <c r="AC47" s="12" t="s">
        <v>180</v>
      </c>
      <c r="AD47" s="11" t="s">
        <v>42</v>
      </c>
      <c r="AE47" s="12" t="s">
        <v>43</v>
      </c>
      <c r="AF47" s="14">
        <f t="shared" si="0"/>
        <v>0.2630345</v>
      </c>
      <c r="AG47" s="11" t="s">
        <v>96</v>
      </c>
    </row>
    <row r="48" spans="1:33" x14ac:dyDescent="0.2">
      <c r="A48" s="8">
        <v>8835</v>
      </c>
      <c r="B48" s="9" t="s">
        <v>175</v>
      </c>
      <c r="C48" s="10">
        <v>43494</v>
      </c>
      <c r="D48" s="11">
        <v>174</v>
      </c>
      <c r="E48" s="12" t="s">
        <v>34</v>
      </c>
      <c r="F48" s="12" t="s">
        <v>35</v>
      </c>
      <c r="G48" s="12" t="s">
        <v>35</v>
      </c>
      <c r="H48" s="12" t="s">
        <v>35</v>
      </c>
      <c r="I48" s="11" t="s">
        <v>187</v>
      </c>
      <c r="J48" s="12" t="s">
        <v>188</v>
      </c>
      <c r="K48" s="13" t="s">
        <v>47</v>
      </c>
      <c r="L48" s="11" t="str">
        <f>"000115"</f>
        <v>000115</v>
      </c>
      <c r="M48" s="10">
        <v>43129</v>
      </c>
      <c r="N48" s="11" t="str">
        <f>"000087"</f>
        <v>000087</v>
      </c>
      <c r="O48" s="10">
        <v>43449</v>
      </c>
      <c r="P48" s="11" t="str">
        <f>"000184"</f>
        <v>000184</v>
      </c>
      <c r="Q48" s="10">
        <v>43449</v>
      </c>
      <c r="R48" s="11"/>
      <c r="S48" s="11" t="str">
        <f>"009021"</f>
        <v>009021</v>
      </c>
      <c r="T48" s="10">
        <v>43490</v>
      </c>
      <c r="U48" s="14">
        <v>26.697749999999999</v>
      </c>
      <c r="V48" s="14">
        <v>2.83792</v>
      </c>
      <c r="W48" s="14">
        <v>23.859829999999999</v>
      </c>
      <c r="X48" s="11">
        <v>335</v>
      </c>
      <c r="Y48" s="10">
        <v>43494</v>
      </c>
      <c r="Z48" s="11">
        <v>9986072837</v>
      </c>
      <c r="AA48" s="12" t="s">
        <v>184</v>
      </c>
      <c r="AB48" s="11" t="s">
        <v>179</v>
      </c>
      <c r="AC48" s="12" t="s">
        <v>180</v>
      </c>
      <c r="AD48" s="11" t="s">
        <v>42</v>
      </c>
      <c r="AE48" s="12" t="s">
        <v>43</v>
      </c>
      <c r="AF48" s="14">
        <f t="shared" si="0"/>
        <v>0.26697749999999998</v>
      </c>
      <c r="AG48" s="11" t="s">
        <v>96</v>
      </c>
    </row>
    <row r="49" spans="1:33" x14ac:dyDescent="0.2">
      <c r="A49" s="8">
        <v>8836</v>
      </c>
      <c r="B49" s="9" t="s">
        <v>175</v>
      </c>
      <c r="C49" s="10">
        <v>43494</v>
      </c>
      <c r="D49" s="11">
        <v>174</v>
      </c>
      <c r="E49" s="12" t="s">
        <v>34</v>
      </c>
      <c r="F49" s="12" t="s">
        <v>35</v>
      </c>
      <c r="G49" s="12" t="s">
        <v>35</v>
      </c>
      <c r="H49" s="12" t="s">
        <v>35</v>
      </c>
      <c r="I49" s="11" t="s">
        <v>189</v>
      </c>
      <c r="J49" s="12" t="s">
        <v>190</v>
      </c>
      <c r="K49" s="13" t="s">
        <v>47</v>
      </c>
      <c r="L49" s="11" t="str">
        <f>"000116"</f>
        <v>000116</v>
      </c>
      <c r="M49" s="10">
        <v>43129</v>
      </c>
      <c r="N49" s="11" t="str">
        <f>"000086"</f>
        <v>000086</v>
      </c>
      <c r="O49" s="10">
        <v>43449</v>
      </c>
      <c r="P49" s="11" t="str">
        <f>"000186"</f>
        <v>000186</v>
      </c>
      <c r="Q49" s="10">
        <v>43449</v>
      </c>
      <c r="R49" s="11"/>
      <c r="S49" s="11" t="str">
        <f>"009022"</f>
        <v>009022</v>
      </c>
      <c r="T49" s="10">
        <v>43490</v>
      </c>
      <c r="U49" s="14">
        <v>26.098099999999999</v>
      </c>
      <c r="V49" s="14">
        <v>2.7089699999999999</v>
      </c>
      <c r="W49" s="14">
        <v>23.389130000000002</v>
      </c>
      <c r="X49" s="11">
        <v>335</v>
      </c>
      <c r="Y49" s="10">
        <v>43494</v>
      </c>
      <c r="Z49" s="11">
        <v>9986072837</v>
      </c>
      <c r="AA49" s="12" t="s">
        <v>184</v>
      </c>
      <c r="AB49" s="11" t="s">
        <v>179</v>
      </c>
      <c r="AC49" s="12" t="s">
        <v>180</v>
      </c>
      <c r="AD49" s="11" t="s">
        <v>42</v>
      </c>
      <c r="AE49" s="12" t="s">
        <v>43</v>
      </c>
      <c r="AF49" s="14">
        <f t="shared" si="0"/>
        <v>0.26098099999999996</v>
      </c>
      <c r="AG49" s="11" t="s">
        <v>96</v>
      </c>
    </row>
    <row r="50" spans="1:33" x14ac:dyDescent="0.2">
      <c r="A50" s="8">
        <v>9300</v>
      </c>
      <c r="B50" s="9" t="s">
        <v>191</v>
      </c>
      <c r="C50" s="10">
        <v>43521</v>
      </c>
      <c r="D50" s="11">
        <v>174</v>
      </c>
      <c r="E50" s="12" t="s">
        <v>34</v>
      </c>
      <c r="F50" s="12" t="s">
        <v>35</v>
      </c>
      <c r="G50" s="12" t="s">
        <v>35</v>
      </c>
      <c r="H50" s="12" t="s">
        <v>35</v>
      </c>
      <c r="I50" s="11" t="s">
        <v>192</v>
      </c>
      <c r="J50" s="12" t="s">
        <v>193</v>
      </c>
      <c r="K50" s="13" t="s">
        <v>47</v>
      </c>
      <c r="L50" s="11" t="str">
        <f>"000020"</f>
        <v>000020</v>
      </c>
      <c r="M50" s="10">
        <v>42898</v>
      </c>
      <c r="N50" s="11" t="str">
        <f>"000020"</f>
        <v>000020</v>
      </c>
      <c r="O50" s="10">
        <v>42916</v>
      </c>
      <c r="P50" s="11" t="str">
        <f>"000020"</f>
        <v>000020</v>
      </c>
      <c r="Q50" s="10">
        <v>42916</v>
      </c>
      <c r="R50" s="11"/>
      <c r="S50" s="11" t="str">
        <f>"009398"</f>
        <v>009398</v>
      </c>
      <c r="T50" s="10">
        <v>43518</v>
      </c>
      <c r="U50" s="14">
        <v>49.491430000000001</v>
      </c>
      <c r="V50" s="14">
        <v>6.7190099999999999</v>
      </c>
      <c r="W50" s="14">
        <v>42.772419999999997</v>
      </c>
      <c r="X50" s="11">
        <v>359</v>
      </c>
      <c r="Y50" s="10">
        <v>43521</v>
      </c>
      <c r="Z50" s="11">
        <v>9999999999</v>
      </c>
      <c r="AA50" s="12" t="s">
        <v>70</v>
      </c>
      <c r="AB50" s="11" t="s">
        <v>194</v>
      </c>
      <c r="AC50" s="12" t="s">
        <v>195</v>
      </c>
      <c r="AD50" s="11" t="s">
        <v>55</v>
      </c>
      <c r="AE50" s="12" t="s">
        <v>56</v>
      </c>
      <c r="AF50" s="14">
        <f t="shared" si="0"/>
        <v>0.49491430000000003</v>
      </c>
      <c r="AG50" s="11" t="s">
        <v>44</v>
      </c>
    </row>
    <row r="51" spans="1:33" x14ac:dyDescent="0.2">
      <c r="A51" s="8">
        <v>9301</v>
      </c>
      <c r="B51" s="9" t="s">
        <v>191</v>
      </c>
      <c r="C51" s="10">
        <v>43521</v>
      </c>
      <c r="D51" s="11">
        <v>174</v>
      </c>
      <c r="E51" s="12" t="s">
        <v>34</v>
      </c>
      <c r="F51" s="12" t="s">
        <v>35</v>
      </c>
      <c r="G51" s="12" t="s">
        <v>35</v>
      </c>
      <c r="H51" s="12" t="s">
        <v>35</v>
      </c>
      <c r="I51" s="11" t="s">
        <v>196</v>
      </c>
      <c r="J51" s="12" t="s">
        <v>197</v>
      </c>
      <c r="K51" s="13" t="s">
        <v>47</v>
      </c>
      <c r="L51" s="11" t="str">
        <f>"000021"</f>
        <v>000021</v>
      </c>
      <c r="M51" s="10">
        <v>42898</v>
      </c>
      <c r="N51" s="11" t="str">
        <f>"000021"</f>
        <v>000021</v>
      </c>
      <c r="O51" s="10">
        <v>42916</v>
      </c>
      <c r="P51" s="11" t="str">
        <f>"000021"</f>
        <v>000021</v>
      </c>
      <c r="Q51" s="10">
        <v>42916</v>
      </c>
      <c r="R51" s="11"/>
      <c r="S51" s="11" t="str">
        <f>"009400"</f>
        <v>009400</v>
      </c>
      <c r="T51" s="10">
        <v>43518</v>
      </c>
      <c r="U51" s="14">
        <v>49.48169</v>
      </c>
      <c r="V51" s="14">
        <v>6.7176900000000002</v>
      </c>
      <c r="W51" s="14">
        <v>42.764000000000003</v>
      </c>
      <c r="X51" s="11">
        <v>359</v>
      </c>
      <c r="Y51" s="10">
        <v>43521</v>
      </c>
      <c r="Z51" s="11">
        <v>9999999999</v>
      </c>
      <c r="AA51" s="12" t="s">
        <v>70</v>
      </c>
      <c r="AB51" s="11" t="s">
        <v>194</v>
      </c>
      <c r="AC51" s="12" t="s">
        <v>195</v>
      </c>
      <c r="AD51" s="11" t="s">
        <v>55</v>
      </c>
      <c r="AE51" s="12" t="s">
        <v>56</v>
      </c>
      <c r="AF51" s="14">
        <f t="shared" si="0"/>
        <v>0.4948169</v>
      </c>
      <c r="AG51" s="11" t="s">
        <v>44</v>
      </c>
    </row>
    <row r="52" spans="1:33" x14ac:dyDescent="0.2">
      <c r="A52" s="8">
        <v>9498</v>
      </c>
      <c r="B52" s="9" t="s">
        <v>198</v>
      </c>
      <c r="C52" s="10">
        <v>43531</v>
      </c>
      <c r="D52" s="11">
        <v>174</v>
      </c>
      <c r="E52" s="12" t="s">
        <v>34</v>
      </c>
      <c r="F52" s="12" t="s">
        <v>35</v>
      </c>
      <c r="G52" s="12" t="s">
        <v>35</v>
      </c>
      <c r="H52" s="12" t="s">
        <v>35</v>
      </c>
      <c r="I52" s="11" t="s">
        <v>75</v>
      </c>
      <c r="J52" s="12" t="s">
        <v>76</v>
      </c>
      <c r="K52" s="13" t="s">
        <v>146</v>
      </c>
      <c r="L52" s="11" t="str">
        <f>"000003"</f>
        <v>000003</v>
      </c>
      <c r="M52" s="10">
        <v>43091</v>
      </c>
      <c r="N52" s="11" t="str">
        <f>"000007"</f>
        <v>000007</v>
      </c>
      <c r="O52" s="10">
        <v>43091</v>
      </c>
      <c r="P52" s="11" t="str">
        <f>"000067"</f>
        <v>000067</v>
      </c>
      <c r="Q52" s="10">
        <v>43092</v>
      </c>
      <c r="R52" s="11"/>
      <c r="S52" s="11" t="str">
        <f>"008808"</f>
        <v>008808</v>
      </c>
      <c r="T52" s="10">
        <v>43102</v>
      </c>
      <c r="U52" s="14">
        <v>3.33</v>
      </c>
      <c r="V52" s="14">
        <v>0.33300000000000002</v>
      </c>
      <c r="W52" s="14">
        <v>2.9969999999999999</v>
      </c>
      <c r="X52" s="11">
        <v>369</v>
      </c>
      <c r="Y52" s="10">
        <v>43531</v>
      </c>
      <c r="Z52" s="11">
        <v>9916557576</v>
      </c>
      <c r="AA52" s="12" t="s">
        <v>78</v>
      </c>
      <c r="AB52" s="11" t="s">
        <v>79</v>
      </c>
      <c r="AC52" s="12" t="s">
        <v>80</v>
      </c>
      <c r="AD52" s="11" t="s">
        <v>81</v>
      </c>
      <c r="AE52" s="12" t="s">
        <v>82</v>
      </c>
      <c r="AF52" s="14">
        <f t="shared" si="0"/>
        <v>3.3300000000000003E-2</v>
      </c>
      <c r="AG52" s="11" t="s">
        <v>44</v>
      </c>
    </row>
    <row r="53" spans="1:33" x14ac:dyDescent="0.2">
      <c r="A53" s="8">
        <v>9571</v>
      </c>
      <c r="B53" s="9" t="s">
        <v>198</v>
      </c>
      <c r="C53" s="10">
        <v>43531</v>
      </c>
      <c r="D53" s="11">
        <v>174</v>
      </c>
      <c r="E53" s="12" t="s">
        <v>34</v>
      </c>
      <c r="F53" s="12" t="s">
        <v>35</v>
      </c>
      <c r="G53" s="12" t="s">
        <v>35</v>
      </c>
      <c r="H53" s="12" t="s">
        <v>35</v>
      </c>
      <c r="I53" s="11" t="s">
        <v>199</v>
      </c>
      <c r="J53" s="12" t="s">
        <v>200</v>
      </c>
      <c r="K53" s="13" t="s">
        <v>47</v>
      </c>
      <c r="L53" s="11" t="str">
        <f>"000023"</f>
        <v>000023</v>
      </c>
      <c r="M53" s="10">
        <v>42898</v>
      </c>
      <c r="N53" s="11" t="str">
        <f>"000022"</f>
        <v>000022</v>
      </c>
      <c r="O53" s="10">
        <v>42916</v>
      </c>
      <c r="P53" s="11" t="str">
        <f>"000019"</f>
        <v>000019</v>
      </c>
      <c r="Q53" s="10">
        <v>42916</v>
      </c>
      <c r="R53" s="11"/>
      <c r="S53" s="11" t="str">
        <f>"009586"</f>
        <v>009586</v>
      </c>
      <c r="T53" s="10">
        <v>43526</v>
      </c>
      <c r="U53" s="14">
        <v>49.438800000000001</v>
      </c>
      <c r="V53" s="14">
        <v>6.7118799999999998</v>
      </c>
      <c r="W53" s="14">
        <v>42.72692</v>
      </c>
      <c r="X53" s="11">
        <v>370</v>
      </c>
      <c r="Y53" s="10">
        <v>43531</v>
      </c>
      <c r="Z53" s="11">
        <v>9999999999</v>
      </c>
      <c r="AA53" s="12" t="s">
        <v>70</v>
      </c>
      <c r="AB53" s="11" t="s">
        <v>194</v>
      </c>
      <c r="AC53" s="12" t="s">
        <v>195</v>
      </c>
      <c r="AD53" s="11" t="s">
        <v>55</v>
      </c>
      <c r="AE53" s="12" t="s">
        <v>56</v>
      </c>
      <c r="AF53" s="14">
        <f t="shared" si="0"/>
        <v>0.49438799999999999</v>
      </c>
      <c r="AG53" s="11" t="s">
        <v>44</v>
      </c>
    </row>
  </sheetData>
  <sortState ref="A2:AG12362">
    <sortCondition ref="D2:D12362"/>
    <sortCondition ref="C2:C1236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1st Apr 2018 31st Mar 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2019-03-05T06:25:51Z</dcterms:created>
  <dcterms:modified xsi:type="dcterms:W3CDTF">2019-06-14T08:42:17Z</dcterms:modified>
</cp:coreProperties>
</file>