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58" i="1" l="1"/>
  <c r="S58" i="1"/>
  <c r="P58" i="1"/>
  <c r="N58" i="1"/>
  <c r="L58" i="1"/>
  <c r="AF57" i="1"/>
  <c r="S57" i="1"/>
  <c r="P57" i="1"/>
  <c r="N57" i="1"/>
  <c r="L57" i="1"/>
  <c r="AF56" i="1"/>
  <c r="S56" i="1"/>
  <c r="P56" i="1"/>
  <c r="N56" i="1"/>
  <c r="L56" i="1"/>
  <c r="AF55" i="1"/>
  <c r="S55" i="1"/>
  <c r="P55" i="1"/>
  <c r="N55" i="1"/>
  <c r="L55" i="1"/>
  <c r="AF54" i="1"/>
  <c r="S54" i="1"/>
  <c r="P54" i="1"/>
  <c r="N54" i="1"/>
  <c r="L54" i="1"/>
  <c r="AF53" i="1"/>
  <c r="S53" i="1"/>
  <c r="P53" i="1"/>
  <c r="N53" i="1"/>
  <c r="L53" i="1"/>
  <c r="AF52" i="1"/>
  <c r="S52" i="1"/>
  <c r="P52" i="1"/>
  <c r="N52" i="1"/>
  <c r="L52" i="1"/>
  <c r="AF51" i="1"/>
  <c r="S51" i="1"/>
  <c r="P51" i="1"/>
  <c r="N51" i="1"/>
  <c r="L51" i="1"/>
  <c r="AF50" i="1"/>
  <c r="S50" i="1"/>
  <c r="P50" i="1"/>
  <c r="N50" i="1"/>
  <c r="L50" i="1"/>
  <c r="AF49" i="1"/>
  <c r="S49" i="1"/>
  <c r="P49" i="1"/>
  <c r="N49" i="1"/>
  <c r="L49" i="1"/>
  <c r="AF48" i="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AF27" i="1"/>
  <c r="S27" i="1"/>
  <c r="P27" i="1"/>
  <c r="N27" i="1"/>
  <c r="L27" i="1"/>
  <c r="AF26" i="1"/>
  <c r="S26" i="1"/>
  <c r="P26" i="1"/>
  <c r="N26" i="1"/>
  <c r="L26" i="1"/>
  <c r="AF25" i="1"/>
  <c r="S25" i="1"/>
  <c r="P25" i="1"/>
  <c r="N25" i="1"/>
  <c r="L25" i="1"/>
  <c r="AF24" i="1"/>
  <c r="S24" i="1"/>
  <c r="P24" i="1"/>
  <c r="N24" i="1"/>
  <c r="L24" i="1"/>
  <c r="AF23" i="1"/>
  <c r="S23" i="1"/>
  <c r="P23" i="1"/>
  <c r="N23" i="1"/>
  <c r="L23" i="1"/>
  <c r="AF22" i="1"/>
  <c r="S22" i="1"/>
  <c r="P22" i="1"/>
  <c r="N22" i="1"/>
  <c r="L22" i="1"/>
  <c r="AF21" i="1"/>
  <c r="S21" i="1"/>
  <c r="P21" i="1"/>
  <c r="N21" i="1"/>
  <c r="L21" i="1"/>
  <c r="AF20"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<sst xmlns="http://schemas.openxmlformats.org/spreadsheetml/2006/main" count="831" uniqueCount="248">
  <si>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</si>
  <si>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</si>
  <si>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</si>
  <si>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</si>
  <si>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</si>
  <si>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</si>
  <si>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</si>
  <si>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</si>
  <si>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</si>
  <si>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</si>
  <si>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</si>
  <si>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</si>
  <si>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</si>
  <si>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</si>
  <si>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</si>
  <si>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</si>
  <si>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</si>
  <si>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</si>
  <si>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</si>
  <si>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</si>
  <si>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</si>
  <si>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</si>
  <si>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</si>
  <si>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</si>
  <si>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</si>
  <si>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</si>
  <si>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</si>
  <si>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</si>
  <si>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</si>
  <si>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</si>
  <si>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</si>
  <si>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</si>
  <si>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</si>
  <si>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</si>
  <si>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BTM Layout</t>
  </si>
  <si>
    <t>South</t>
  </si>
  <si>
    <t>176-17-000060</t>
  </si>
  <si>
    <t>Development of Secondary drains Territary drains at Ward No 176 BTM Lyt</t>
  </si>
  <si>
    <t>Footpaths &amp; Walkability</t>
  </si>
  <si>
    <t>B G Srinivasa</t>
  </si>
  <si>
    <t>P3110</t>
  </si>
  <si>
    <t>14th Finance Commission Grant Works</t>
  </si>
  <si>
    <t>ddo313</t>
  </si>
  <si>
    <t xml:space="preserve"> Chief Engineer SWD Central Zone</t>
  </si>
  <si>
    <t>Pending</t>
  </si>
  <si>
    <t>176-16-000044</t>
  </si>
  <si>
    <t>Providing cement concrete to road at Gunduthopu and other improvements works in ward no 176</t>
  </si>
  <si>
    <t>Roads &amp; Drivablility</t>
  </si>
  <si>
    <t>M Jayanth</t>
  </si>
  <si>
    <t>P1878</t>
  </si>
  <si>
    <t>18per - Works (Bhagyajyothi, Sooru / Neeru Yojane and General) (54 Lakhs / New Wards)</t>
  </si>
  <si>
    <t>ddo270</t>
  </si>
  <si>
    <t xml:space="preserve"> Assistant Executive Engineer BTM Layout South Zone</t>
  </si>
  <si>
    <t>176-16-000045</t>
  </si>
  <si>
    <t>Providing cement concrete to road at N.S Palya and other Improvements works in ward no 176</t>
  </si>
  <si>
    <t>Sri M Jayanth</t>
  </si>
  <si>
    <t>176-16-000002</t>
  </si>
  <si>
    <t>Annual Maintainance work for the year 2015-16 in Ward No. 176 BTM Layout</t>
  </si>
  <si>
    <t>Other Ward Works</t>
  </si>
  <si>
    <t>Patel. B,</t>
  </si>
  <si>
    <t>P1771</t>
  </si>
  <si>
    <t>Zone Works - POW Works</t>
  </si>
  <si>
    <t>May</t>
  </si>
  <si>
    <t>176-17-000066</t>
  </si>
  <si>
    <t>Engagement of Gangman and Hiring of Tractor Tippers for cleaning and Maintenance of road side drains and other cleaning works in works in ward no176</t>
  </si>
  <si>
    <t>Patel B</t>
  </si>
  <si>
    <t>Spill Over</t>
  </si>
  <si>
    <t>176-16-000005</t>
  </si>
  <si>
    <t>Improvements to drains at 2nd 3rd and 4th Main at Bharath HBCS layout and surrounding area cross roads in BTM 2nd stage ward No-176</t>
  </si>
  <si>
    <t>R M Ravi</t>
  </si>
  <si>
    <t>176-16-000006</t>
  </si>
  <si>
    <t>Improvements to drains at 2nd main 3rd A main 4th cross of NS Palya and surrounding area cross roads BTM 2nd stage ward No-176 BTM Layout</t>
  </si>
  <si>
    <t>June</t>
  </si>
  <si>
    <t>176-15-000012</t>
  </si>
  <si>
    <t>Urgent work under emergency grant for the year 2014 15 in Ward No 176 BTM Layout</t>
  </si>
  <si>
    <t>Sri. K C Sridhar</t>
  </si>
  <si>
    <t>July</t>
  </si>
  <si>
    <t>176-15-000010</t>
  </si>
  <si>
    <t>Asphalting to road cutting portion and bad reaches for the year 2014 15 in Ward No 176 BTM Layout</t>
  </si>
  <si>
    <t>Sri. K R Pratheek</t>
  </si>
  <si>
    <t>176-16-000001</t>
  </si>
  <si>
    <t>Operation and Maintenance of Street Lighting System in Ward No.176 Package S-28 of South Zone</t>
  </si>
  <si>
    <t>M/s. Lakshmikantha Electricals (Thimmappa.R)</t>
  </si>
  <si>
    <t>P0300</t>
  </si>
  <si>
    <t>M and R to Street Lights - Replacement of Burnt Bulbs etc. (Package)</t>
  </si>
  <si>
    <t>ddo258</t>
  </si>
  <si>
    <t xml:space="preserve"> Executive Engineer Electrical South Zone</t>
  </si>
  <si>
    <t>176-16-000009</t>
  </si>
  <si>
    <t>Sinking of borewell energizing and providing pipeline and errection of Mini Water Tank and Commissioning at Roopanagara in Ward no 176 BTM Layout</t>
  </si>
  <si>
    <t>Water &amp; Sanitary</t>
  </si>
  <si>
    <t>Poornachandra K V</t>
  </si>
  <si>
    <t>P1802</t>
  </si>
  <si>
    <t>Water Supply New Areas</t>
  </si>
  <si>
    <t>176-16-000003</t>
  </si>
  <si>
    <t>Asphalting to road cutting portion and bad reaches for the year 2015-16 in Ward No. 176 BTM Layout</t>
  </si>
  <si>
    <t>Sri. Gnanendra reddy</t>
  </si>
  <si>
    <t>August</t>
  </si>
  <si>
    <t>176-17-000001</t>
  </si>
  <si>
    <t>Improvements to drain alround the BBMP playground at 20th main road in BTM 2nd stage ward no 176</t>
  </si>
  <si>
    <t>M/s KRIDL</t>
  </si>
  <si>
    <t>P0190</t>
  </si>
  <si>
    <t>Works sanctioned by Hon Mayor</t>
  </si>
  <si>
    <t>176-16-000038</t>
  </si>
  <si>
    <t>Improvements to drains at Kuvempu Park surrouondings area in BTM layout in ward 176</t>
  </si>
  <si>
    <t>176-16-000036</t>
  </si>
  <si>
    <t>Improvements to drain and Providing Missing slabs to road side drains in BTM, MICO Layout N S Palya and N.S. Palya Gundutopu surrounding areas opf B.T.M. 2nd stage in ward No.176</t>
  </si>
  <si>
    <t>176-14-000039</t>
  </si>
  <si>
    <t>Improvements to drain at 30th main west side drain in BTM 2nd stage ward No: 176</t>
  </si>
  <si>
    <t>P3033</t>
  </si>
  <si>
    <t xml:space="preserve">Widdening of sarjapur road current works </t>
  </si>
  <si>
    <t>September</t>
  </si>
  <si>
    <t>176-16-000039</t>
  </si>
  <si>
    <t>Improvements to drains at EWS colony and surrounding area in BTM layout in ward No.176</t>
  </si>
  <si>
    <t>176-17-000041</t>
  </si>
  <si>
    <t>Sinking and energyzing of borewell in ward no 176</t>
  </si>
  <si>
    <t>Y H Krishna</t>
  </si>
  <si>
    <t>October</t>
  </si>
  <si>
    <t>176-18-000022</t>
  </si>
  <si>
    <t xml:space="preserve">Providing and supplaying of Culvert slabs at BTM Layout in Ward No:176 </t>
  </si>
  <si>
    <t>Sri. Hitesh Kumar S</t>
  </si>
  <si>
    <t>P3296</t>
  </si>
  <si>
    <t>14th Finance Commission Works - Road and Footpath Maintenance</t>
  </si>
  <si>
    <t>Current</t>
  </si>
  <si>
    <t>176-18-000005</t>
  </si>
  <si>
    <t>Construction of Balance portion of RCC U shape drain in K-204 near silk board in ward No.176</t>
  </si>
  <si>
    <t>Venu Madhav Mandala</t>
  </si>
  <si>
    <t>P3106</t>
  </si>
  <si>
    <t>Nagarothana Works</t>
  </si>
  <si>
    <t>176-17-000035</t>
  </si>
  <si>
    <t>Improvements to drains at 1st A main in Ward No-176 BTM 2nd Stage</t>
  </si>
  <si>
    <t>N Santosh</t>
  </si>
  <si>
    <t>176-17-000034</t>
  </si>
  <si>
    <t>Painting and Other improvements to BBMP ward office building 16th Main in Ward No-176 BTM 2nd Stage</t>
  </si>
  <si>
    <t>Public Amenities</t>
  </si>
  <si>
    <t>Sri. N Santosh</t>
  </si>
  <si>
    <t>176-17-000007</t>
  </si>
  <si>
    <t>Drilling of borewell Providing of Submercible Pumpsets and Electrification works in LIC Park</t>
  </si>
  <si>
    <t>Trees, Parks &amp; Playgrounds</t>
  </si>
  <si>
    <t>KRIDL</t>
  </si>
  <si>
    <t>ddo422</t>
  </si>
  <si>
    <t xml:space="preserve"> Executive Engineer Project - South Zone</t>
  </si>
  <si>
    <t>176-17-000058</t>
  </si>
  <si>
    <t>Consultancy services for preparation of DPR for the work of Improvements to drain, footpath and Asphalting to selected Arterial, Sub-Arterial Roads and other connecting roads in South zone South 2016-17-Package No.19</t>
  </si>
  <si>
    <t>Ramesh M</t>
  </si>
  <si>
    <t>P3158</t>
  </si>
  <si>
    <t>SIP Infrastructure Project works</t>
  </si>
  <si>
    <t>176-18-000007</t>
  </si>
  <si>
    <t>Providing Street lights Timer Control and other Public lighting accessories in BTM Layout and surrounding areas ward no 176</t>
  </si>
  <si>
    <t>Executive Engineer-3, Karnataka Rural Infrastructure,</t>
  </si>
  <si>
    <t>P3290</t>
  </si>
  <si>
    <t>14th Finance Commission Works - Providing Street Lights and Maintenance</t>
  </si>
  <si>
    <t>176-18-000031</t>
  </si>
  <si>
    <t>Providing LED Street lights in ward no 176</t>
  </si>
  <si>
    <t>Executive Engineer -3, KRIDL</t>
  </si>
  <si>
    <t>November</t>
  </si>
  <si>
    <t>176-17-000023</t>
  </si>
  <si>
    <t>Construction of Community New public toilet Block at play ground in between 19th main and 20th main roads BBMP park in between 4th main road 6th cross roads Ganesh Temple in ward no 176</t>
  </si>
  <si>
    <t>Health &amp; Sanitation</t>
  </si>
  <si>
    <t>Sri. Gnanendra Reddy</t>
  </si>
  <si>
    <t>176-18-000028</t>
  </si>
  <si>
    <t xml:space="preserve">Maintenance and Reparis to DWCC in ward No:176 BTM Layout </t>
  </si>
  <si>
    <t>Sri. Patel B</t>
  </si>
  <si>
    <t>P3298</t>
  </si>
  <si>
    <t>14th Finance Commission Works - SWM Works</t>
  </si>
  <si>
    <t>December</t>
  </si>
  <si>
    <t>176-18-000030</t>
  </si>
  <si>
    <t>Asphalting to Balance roads in Sunshine Layout in ward no 176 BTM Layout</t>
  </si>
  <si>
    <t>P3111</t>
  </si>
  <si>
    <t>State Finance Commission Untied Grant Works</t>
  </si>
  <si>
    <t>176-17-000025</t>
  </si>
  <si>
    <t>Depot collection for the year 2016-17 in Ward no-176 BTM 2nd Stage</t>
  </si>
  <si>
    <t>Sri Srinivasa reddy</t>
  </si>
  <si>
    <t>176-18-000008</t>
  </si>
  <si>
    <t>Improvements to Cremotorium pathway and other works in BTM layout ward no 176</t>
  </si>
  <si>
    <t>Sri. C Pushparaj</t>
  </si>
  <si>
    <t>P3291</t>
  </si>
  <si>
    <t>14th Fin  -Maintenance of Cremotorium, Burial Grounds</t>
  </si>
  <si>
    <t>176-18-000013</t>
  </si>
  <si>
    <t>Improvements to roads and footpath at 3rd main near Nandanavana park in ward no 176 BTM Layout</t>
  </si>
  <si>
    <t>Sri. Ramaraju Purushothama</t>
  </si>
  <si>
    <t>January</t>
  </si>
  <si>
    <t>176-17-000063</t>
  </si>
  <si>
    <t>Development of Roads and Drains in Ward No 176 BTM Lyt</t>
  </si>
  <si>
    <t>176-17-000003</t>
  </si>
  <si>
    <t>Providing and fixing granite banches in parks of ward no 176 BTM layout</t>
  </si>
  <si>
    <t>176-16-000013</t>
  </si>
  <si>
    <t>Construction of Multipurpose building sports complex in ward no 176 (Preparation of DPR for Construction of Multipurpose building sports complex in ward no 176).</t>
  </si>
  <si>
    <t>M/s Rudraprasad consultants</t>
  </si>
  <si>
    <t>176-18-000015</t>
  </si>
  <si>
    <t xml:space="preserve">Providing Chain Link Fencing to BBMP Property situated at 29th Main in Ward No:176 BTM Layout </t>
  </si>
  <si>
    <t>Sri. S R Vikram</t>
  </si>
  <si>
    <t>P3292</t>
  </si>
  <si>
    <t>14th Finance Commission Works - Community Property Maintenance (including Parks)</t>
  </si>
  <si>
    <t>176-18-000026</t>
  </si>
  <si>
    <t xml:space="preserve">Desilting and Improvements to drains at EWS Colony and surounding area in ward No 176 BTM Layout </t>
  </si>
  <si>
    <t>Sri. N Chethan Kumar</t>
  </si>
  <si>
    <t>176-17-000059</t>
  </si>
  <si>
    <t xml:space="preserve">Providing drinking water works in Ward No 176 in BTM Layout Division </t>
  </si>
  <si>
    <t>Drinking Water</t>
  </si>
  <si>
    <t>Sri. Y H Krishna</t>
  </si>
  <si>
    <t>176-17-000068</t>
  </si>
  <si>
    <t>Providing Modren Dust Bin in Bangalore City in ward no 176</t>
  </si>
  <si>
    <t>Sri. Sharanappa</t>
  </si>
  <si>
    <t>February</t>
  </si>
  <si>
    <t>176-18-000025</t>
  </si>
  <si>
    <t xml:space="preserve">Desilting and improvements to drains at Nandanavana Park and Kuvempu Park surrounding areas in Ward No 176 BTM Layout </t>
  </si>
  <si>
    <t>176-11-000024</t>
  </si>
  <si>
    <t>Construction of Anganawadi Building at EWS colony, BTM 2nd stage in ward no.176</t>
  </si>
  <si>
    <t>M/s.Almas Constructions</t>
  </si>
  <si>
    <t>P2201</t>
  </si>
  <si>
    <t>Assembly Constituency Development Works under BBMP</t>
  </si>
  <si>
    <t>March</t>
  </si>
  <si>
    <t>176-18-000017</t>
  </si>
  <si>
    <t xml:space="preserve">Construction of Public Toilet in MES Park BTM Layout in Ward No:176 </t>
  </si>
  <si>
    <t>Sri. Shivakumar Nallahalli, Shivanna Gowda</t>
  </si>
  <si>
    <t>P3294</t>
  </si>
  <si>
    <t>14th Finance Commission Works - General Public ToiletandSeptage Maintenance</t>
  </si>
  <si>
    <t>176-18-000018</t>
  </si>
  <si>
    <t xml:space="preserve">Construction of Public Toilet in Mini Forest BDA Flats in Ward 176 BTM Layout </t>
  </si>
  <si>
    <t>Sri. Shivakumar Nallahalli Shivanna Gowda</t>
  </si>
  <si>
    <t>176-18-000019</t>
  </si>
  <si>
    <t xml:space="preserve">Construction of Public Toilet in 25th Main Ganesha Temple Park in Ward No:176 BTM Layout </t>
  </si>
  <si>
    <t>Sri. Shivakumar Nallahalli, Shivanna Gwoda</t>
  </si>
  <si>
    <t>176-18-000023</t>
  </si>
  <si>
    <t xml:space="preserve">Desiltig and Improvements to drains at N S Palya and Kaverappa Industrial area in Ward No 176 BTM Layout </t>
  </si>
  <si>
    <t>Sri. N Chethan kumar</t>
  </si>
  <si>
    <t>176-18-000009</t>
  </si>
  <si>
    <t>Improvements to KAS colony park at CPWD Quarters in BTM layout ward no 176</t>
  </si>
  <si>
    <t>176-18-000021</t>
  </si>
  <si>
    <t xml:space="preserve">Improvements to Roads and foothpath in Nanjappa Layout 4th Cross 29th Main in Ward o:176 BTM Layout </t>
  </si>
  <si>
    <t xml:space="preserve">Sri. Ramaraju Purushothama </t>
  </si>
  <si>
    <t>176-17-000002</t>
  </si>
  <si>
    <t>Improvements to drains at 29th main near temple in ward no 176 BTM 2nd stage</t>
  </si>
  <si>
    <t>176-18-000016</t>
  </si>
  <si>
    <t xml:space="preserve">Digging of borewell and water Pipeline in Ward No:176 BTM Layout </t>
  </si>
  <si>
    <t>Sri Y H Krishna</t>
  </si>
  <si>
    <t>P3293</t>
  </si>
  <si>
    <t>14th Finance Commission Works - Drinking Water</t>
  </si>
  <si>
    <t>176-16-000037</t>
  </si>
  <si>
    <t>Providing Name boards and painting to Old name boards and other Improvements to BTM layout in ward.176</t>
  </si>
  <si>
    <t xml:space="preserve">M/s KRIDL </t>
  </si>
  <si>
    <t>176-17-000033</t>
  </si>
  <si>
    <t>Improvements to drains from 6th Cross to 13 th A Cross Lake road in Ward No-176 BTM 2nd Stage</t>
  </si>
  <si>
    <t>176-17-000032</t>
  </si>
  <si>
    <t>Improvements to drains from 4th Cross to 6th Cross Lake road, in Ward No-176 BTM 2nd Stage</t>
  </si>
  <si>
    <t>K C Sridhar</t>
  </si>
  <si>
    <t>176-17-000031</t>
  </si>
  <si>
    <t>Improvements to drains at 4th Cross, 19th Cross in 4th Main Road Abbayyappa Layout, N.S Palya, in Ward No-176 BTM 2nd Stage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</si>
</sst>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xf numFmtId="0" fontId="2"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8"/>
  <sheetViews>
    <sheetView tabSelected="1" workbookViewId="0">
      <pane ySplit="1" topLeftCell="A2" activePane="bottomLeft" state="frozen"/>
      <selection activeCell="H1" sqref="H1"/>
      <selection pane="bottomLeft" activeCell="A2" sqref="A2:XFD58"/>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455</v>
      </c>
      <c r="B2" s="9" t="s">
        <v>33</v>
      </c>
      <c r="C2" s="10">
        <v>43200</v>
      </c>
      <c r="D2" s="11">
        <v>176</v>
      </c>
      <c r="E2" s="12" t="s">
        <v>34</v>
      </c>
      <c r="F2" s="12" t="s">
        <v>34</v>
      </c>
      <c r="G2" s="12" t="s">
        <v>34</v>
      </c>
      <c r="H2" s="12" t="s">
        <v>35</v>
      </c>
      <c r="I2" s="11" t="s">
        <v>36</v>
      </c>
      <c r="J2" s="12" t="s">
        <v>37</v>
      </c>
      <c r="K2" s="13" t="s">
        <v>38</v>
      </c>
      <c r="L2" s="11" t="str">
        <f>"000005"</f>
        <v>000005</v>
      </c>
      <c r="M2" s="10">
        <v>43070</v>
      </c>
      <c r="N2" s="11" t="str">
        <f>"000014"</f>
        <v>000014</v>
      </c>
      <c r="O2" s="10">
        <v>43185</v>
      </c>
      <c r="P2" s="11" t="str">
        <f>"000158"</f>
        <v>000158</v>
      </c>
      <c r="Q2" s="10">
        <v>43185</v>
      </c>
      <c r="R2" s="11">
        <v>17</v>
      </c>
      <c r="S2" s="11" t="str">
        <f>"000437"</f>
        <v>000437</v>
      </c>
      <c r="T2" s="10">
        <v>43199</v>
      </c>
      <c r="U2" s="14">
        <v>109.496</v>
      </c>
      <c r="V2" s="14">
        <v>2.83</v>
      </c>
      <c r="W2" s="14">
        <v>106.666</v>
      </c>
      <c r="X2" s="11">
        <v>13</v>
      </c>
      <c r="Y2" s="10">
        <v>43200</v>
      </c>
      <c r="Z2" s="11">
        <v>9886433379</v>
      </c>
      <c r="AA2" s="12" t="s">
        <v>39</v>
      </c>
      <c r="AB2" s="11" t="s">
        <v>40</v>
      </c>
      <c r="AC2" s="12" t="s">
        <v>41</v>
      </c>
      <c r="AD2" s="11" t="s">
        <v>42</v>
      </c>
      <c r="AE2" s="12" t="s">
        <v>43</v>
      </c>
      <c r="AF2" s="14">
        <v>1.0949599999999999</v>
      </c>
      <c r="AG2" s="11" t="s">
        <v>44</v>
      </c>
    </row>
    <row r="3" spans="1:33" x14ac:dyDescent="0.2">
      <c r="A3" s="8">
        <v>587</v>
      </c>
      <c r="B3" s="9" t="s">
        <v>33</v>
      </c>
      <c r="C3" s="10">
        <v>43213</v>
      </c>
      <c r="D3" s="11">
        <v>176</v>
      </c>
      <c r="E3" s="12" t="s">
        <v>34</v>
      </c>
      <c r="F3" s="12" t="s">
        <v>34</v>
      </c>
      <c r="G3" s="12" t="s">
        <v>34</v>
      </c>
      <c r="H3" s="12" t="s">
        <v>35</v>
      </c>
      <c r="I3" s="11" t="s">
        <v>45</v>
      </c>
      <c r="J3" s="12" t="s">
        <v>46</v>
      </c>
      <c r="K3" s="13" t="s">
        <v>47</v>
      </c>
      <c r="L3" s="11" t="str">
        <f>"000177"</f>
        <v>000177</v>
      </c>
      <c r="M3" s="10">
        <v>43161</v>
      </c>
      <c r="N3" s="11" t="str">
        <f>"000083"</f>
        <v>000083</v>
      </c>
      <c r="O3" s="10">
        <v>43165</v>
      </c>
      <c r="P3" s="11" t="str">
        <f>"000175"</f>
        <v>000175</v>
      </c>
      <c r="Q3" s="10">
        <v>43178</v>
      </c>
      <c r="R3" s="11">
        <v>16</v>
      </c>
      <c r="S3" s="11" t="str">
        <f>"000549"</f>
        <v>000549</v>
      </c>
      <c r="T3" s="10">
        <v>43203</v>
      </c>
      <c r="U3" s="14">
        <v>6.3890399999999996</v>
      </c>
      <c r="V3" s="14">
        <v>0.61138999999999999</v>
      </c>
      <c r="W3" s="14">
        <v>5.7776500000000004</v>
      </c>
      <c r="X3" s="11">
        <v>21</v>
      </c>
      <c r="Y3" s="10">
        <v>43213</v>
      </c>
      <c r="Z3" s="11">
        <v>9964587191</v>
      </c>
      <c r="AA3" s="12" t="s">
        <v>48</v>
      </c>
      <c r="AB3" s="11" t="s">
        <v>49</v>
      </c>
      <c r="AC3" s="12" t="s">
        <v>50</v>
      </c>
      <c r="AD3" s="11" t="s">
        <v>51</v>
      </c>
      <c r="AE3" s="12" t="s">
        <v>52</v>
      </c>
      <c r="AF3" s="14">
        <v>6.38904E-2</v>
      </c>
      <c r="AG3" s="11" t="s">
        <v>44</v>
      </c>
    </row>
    <row r="4" spans="1:33" x14ac:dyDescent="0.2">
      <c r="A4" s="8">
        <v>588</v>
      </c>
      <c r="B4" s="9" t="s">
        <v>33</v>
      </c>
      <c r="C4" s="10">
        <v>43213</v>
      </c>
      <c r="D4" s="11">
        <v>176</v>
      </c>
      <c r="E4" s="12" t="s">
        <v>34</v>
      </c>
      <c r="F4" s="12" t="s">
        <v>34</v>
      </c>
      <c r="G4" s="12" t="s">
        <v>34</v>
      </c>
      <c r="H4" s="12" t="s">
        <v>35</v>
      </c>
      <c r="I4" s="11" t="s">
        <v>53</v>
      </c>
      <c r="J4" s="12" t="s">
        <v>54</v>
      </c>
      <c r="K4" s="13" t="s">
        <v>47</v>
      </c>
      <c r="L4" s="11" t="str">
        <f>"000178"</f>
        <v>000178</v>
      </c>
      <c r="M4" s="10">
        <v>43161</v>
      </c>
      <c r="N4" s="11" t="str">
        <f>"000084"</f>
        <v>000084</v>
      </c>
      <c r="O4" s="10">
        <v>43165</v>
      </c>
      <c r="P4" s="11" t="str">
        <f>"000176"</f>
        <v>000176</v>
      </c>
      <c r="Q4" s="10">
        <v>43178</v>
      </c>
      <c r="R4" s="11">
        <v>16</v>
      </c>
      <c r="S4" s="11" t="str">
        <f>"000550"</f>
        <v>000550</v>
      </c>
      <c r="T4" s="10">
        <v>43203</v>
      </c>
      <c r="U4" s="14">
        <v>2.6653799999999999</v>
      </c>
      <c r="V4" s="14">
        <v>0.26251999999999998</v>
      </c>
      <c r="W4" s="14">
        <v>2.40286</v>
      </c>
      <c r="X4" s="11">
        <v>21</v>
      </c>
      <c r="Y4" s="10">
        <v>43213</v>
      </c>
      <c r="Z4" s="11">
        <v>9964587191</v>
      </c>
      <c r="AA4" s="12" t="s">
        <v>55</v>
      </c>
      <c r="AB4" s="11" t="s">
        <v>49</v>
      </c>
      <c r="AC4" s="12" t="s">
        <v>50</v>
      </c>
      <c r="AD4" s="11" t="s">
        <v>51</v>
      </c>
      <c r="AE4" s="12" t="s">
        <v>52</v>
      </c>
      <c r="AF4" s="14">
        <v>2.6653799999999998E-2</v>
      </c>
      <c r="AG4" s="11" t="s">
        <v>44</v>
      </c>
    </row>
    <row r="5" spans="1:33" x14ac:dyDescent="0.2">
      <c r="A5" s="8">
        <v>798</v>
      </c>
      <c r="B5" s="9" t="s">
        <v>33</v>
      </c>
      <c r="C5" s="10">
        <v>43217</v>
      </c>
      <c r="D5" s="11">
        <v>176</v>
      </c>
      <c r="E5" s="12" t="s">
        <v>34</v>
      </c>
      <c r="F5" s="12" t="s">
        <v>34</v>
      </c>
      <c r="G5" s="12" t="s">
        <v>34</v>
      </c>
      <c r="H5" s="12" t="s">
        <v>35</v>
      </c>
      <c r="I5" s="11" t="s">
        <v>56</v>
      </c>
      <c r="J5" s="12" t="s">
        <v>57</v>
      </c>
      <c r="K5" s="13" t="s">
        <v>58</v>
      </c>
      <c r="L5" s="11" t="str">
        <f>"000026"</f>
        <v>000026</v>
      </c>
      <c r="M5" s="10">
        <v>42521</v>
      </c>
      <c r="N5" s="11" t="str">
        <f>"000194"</f>
        <v>000194</v>
      </c>
      <c r="O5" s="10">
        <v>42825</v>
      </c>
      <c r="P5" s="11" t="str">
        <f>"000419"</f>
        <v>000419</v>
      </c>
      <c r="Q5" s="10">
        <v>42825</v>
      </c>
      <c r="R5" s="11">
        <v>16</v>
      </c>
      <c r="S5" s="11" t="str">
        <f>"002544"</f>
        <v>002544</v>
      </c>
      <c r="T5" s="10">
        <v>43265</v>
      </c>
      <c r="U5" s="14">
        <v>6.0928000000000004</v>
      </c>
      <c r="V5" s="14">
        <v>0.75544999999999995</v>
      </c>
      <c r="W5" s="14">
        <v>5.3373499999999998</v>
      </c>
      <c r="X5" s="11">
        <v>31</v>
      </c>
      <c r="Y5" s="10">
        <v>43217</v>
      </c>
      <c r="Z5" s="11">
        <v>9916364289</v>
      </c>
      <c r="AA5" s="12" t="s">
        <v>59</v>
      </c>
      <c r="AB5" s="11" t="s">
        <v>60</v>
      </c>
      <c r="AC5" s="12" t="s">
        <v>61</v>
      </c>
      <c r="AD5" s="11" t="s">
        <v>51</v>
      </c>
      <c r="AE5" s="12" t="s">
        <v>52</v>
      </c>
      <c r="AF5" s="14">
        <v>6.0928000000000003E-2</v>
      </c>
      <c r="AG5" s="11" t="s">
        <v>44</v>
      </c>
    </row>
    <row r="6" spans="1:33" x14ac:dyDescent="0.2">
      <c r="A6" s="8">
        <v>1374</v>
      </c>
      <c r="B6" s="9" t="s">
        <v>62</v>
      </c>
      <c r="C6" s="10">
        <v>43241</v>
      </c>
      <c r="D6" s="11">
        <v>176</v>
      </c>
      <c r="E6" s="12" t="s">
        <v>34</v>
      </c>
      <c r="F6" s="12" t="s">
        <v>34</v>
      </c>
      <c r="G6" s="12" t="s">
        <v>34</v>
      </c>
      <c r="H6" s="12" t="s">
        <v>35</v>
      </c>
      <c r="I6" s="11" t="s">
        <v>63</v>
      </c>
      <c r="J6" s="12" t="s">
        <v>64</v>
      </c>
      <c r="K6" s="13" t="s">
        <v>58</v>
      </c>
      <c r="L6" s="11" t="str">
        <f>"000065"</f>
        <v>000065</v>
      </c>
      <c r="M6" s="10">
        <v>43056</v>
      </c>
      <c r="N6" s="11" t="str">
        <f>"000016"</f>
        <v>000016</v>
      </c>
      <c r="O6" s="10">
        <v>43215</v>
      </c>
      <c r="P6" s="11" t="str">
        <f>"000032"</f>
        <v>000032</v>
      </c>
      <c r="Q6" s="10">
        <v>43217</v>
      </c>
      <c r="R6" s="11">
        <v>17</v>
      </c>
      <c r="S6" s="11" t="str">
        <f>"001680"</f>
        <v>001680</v>
      </c>
      <c r="T6" s="10">
        <v>43239</v>
      </c>
      <c r="U6" s="14">
        <v>4.9269999999999996</v>
      </c>
      <c r="V6" s="14">
        <v>0.44835000000000003</v>
      </c>
      <c r="W6" s="14">
        <v>4.47865</v>
      </c>
      <c r="X6" s="11">
        <v>56</v>
      </c>
      <c r="Y6" s="10">
        <v>43241</v>
      </c>
      <c r="Z6" s="11">
        <v>9448561985</v>
      </c>
      <c r="AA6" s="12" t="s">
        <v>65</v>
      </c>
      <c r="AB6" s="11" t="s">
        <v>40</v>
      </c>
      <c r="AC6" s="12" t="s">
        <v>41</v>
      </c>
      <c r="AD6" s="11" t="s">
        <v>51</v>
      </c>
      <c r="AE6" s="12" t="s">
        <v>52</v>
      </c>
      <c r="AF6" s="14">
        <v>4.9269999999999994E-2</v>
      </c>
      <c r="AG6" s="11" t="s">
        <v>66</v>
      </c>
    </row>
    <row r="7" spans="1:33" x14ac:dyDescent="0.2">
      <c r="A7" s="8">
        <v>1580</v>
      </c>
      <c r="B7" s="9" t="s">
        <v>62</v>
      </c>
      <c r="C7" s="10">
        <v>43251</v>
      </c>
      <c r="D7" s="11">
        <v>176</v>
      </c>
      <c r="E7" s="12" t="s">
        <v>34</v>
      </c>
      <c r="F7" s="12" t="s">
        <v>34</v>
      </c>
      <c r="G7" s="12" t="s">
        <v>34</v>
      </c>
      <c r="H7" s="12" t="s">
        <v>35</v>
      </c>
      <c r="I7" s="11" t="s">
        <v>67</v>
      </c>
      <c r="J7" s="12" t="s">
        <v>68</v>
      </c>
      <c r="K7" s="13" t="s">
        <v>38</v>
      </c>
      <c r="L7" s="11" t="str">
        <f>"000033"</f>
        <v>000033</v>
      </c>
      <c r="M7" s="10">
        <v>42826</v>
      </c>
      <c r="N7" s="11" t="str">
        <f>"000086"</f>
        <v>000086</v>
      </c>
      <c r="O7" s="10">
        <v>42613</v>
      </c>
      <c r="P7" s="11" t="str">
        <f>"000190"</f>
        <v>000190</v>
      </c>
      <c r="Q7" s="10">
        <v>42613</v>
      </c>
      <c r="R7" s="11">
        <v>16</v>
      </c>
      <c r="S7" s="11" t="str">
        <f>"001692"</f>
        <v>001692</v>
      </c>
      <c r="T7" s="10">
        <v>43242</v>
      </c>
      <c r="U7" s="14">
        <v>39.143999999999998</v>
      </c>
      <c r="V7" s="14">
        <v>5.3553199999999999</v>
      </c>
      <c r="W7" s="14">
        <v>33.788679999999999</v>
      </c>
      <c r="X7" s="11">
        <v>67</v>
      </c>
      <c r="Y7" s="10">
        <v>43251</v>
      </c>
      <c r="Z7" s="11">
        <v>9448059182</v>
      </c>
      <c r="AA7" s="12" t="s">
        <v>69</v>
      </c>
      <c r="AB7" s="11" t="s">
        <v>60</v>
      </c>
      <c r="AC7" s="12" t="s">
        <v>61</v>
      </c>
      <c r="AD7" s="11" t="s">
        <v>51</v>
      </c>
      <c r="AE7" s="12" t="s">
        <v>52</v>
      </c>
      <c r="AF7" s="14">
        <v>0.39144000000000001</v>
      </c>
      <c r="AG7" s="11" t="s">
        <v>44</v>
      </c>
    </row>
    <row r="8" spans="1:33" x14ac:dyDescent="0.2">
      <c r="A8" s="8">
        <v>1581</v>
      </c>
      <c r="B8" s="9" t="s">
        <v>62</v>
      </c>
      <c r="C8" s="10">
        <v>43251</v>
      </c>
      <c r="D8" s="11">
        <v>176</v>
      </c>
      <c r="E8" s="12" t="s">
        <v>34</v>
      </c>
      <c r="F8" s="12" t="s">
        <v>34</v>
      </c>
      <c r="G8" s="12" t="s">
        <v>34</v>
      </c>
      <c r="H8" s="12" t="s">
        <v>35</v>
      </c>
      <c r="I8" s="11" t="s">
        <v>70</v>
      </c>
      <c r="J8" s="12" t="s">
        <v>71</v>
      </c>
      <c r="K8" s="13" t="s">
        <v>38</v>
      </c>
      <c r="L8" s="11" t="str">
        <f>"000034"</f>
        <v>000034</v>
      </c>
      <c r="M8" s="10">
        <v>42613</v>
      </c>
      <c r="N8" s="11" t="str">
        <f>"000085"</f>
        <v>000085</v>
      </c>
      <c r="O8" s="10">
        <v>42613</v>
      </c>
      <c r="P8" s="11" t="str">
        <f>"000189"</f>
        <v>000189</v>
      </c>
      <c r="Q8" s="10">
        <v>42613</v>
      </c>
      <c r="R8" s="11">
        <v>16</v>
      </c>
      <c r="S8" s="11" t="str">
        <f>"001769"</f>
        <v>001769</v>
      </c>
      <c r="T8" s="10">
        <v>43242</v>
      </c>
      <c r="U8" s="14">
        <v>21.966000000000001</v>
      </c>
      <c r="V8" s="14">
        <v>3.00522</v>
      </c>
      <c r="W8" s="14">
        <v>18.96078</v>
      </c>
      <c r="X8" s="11">
        <v>67</v>
      </c>
      <c r="Y8" s="10">
        <v>43251</v>
      </c>
      <c r="Z8" s="11">
        <v>9448059182</v>
      </c>
      <c r="AA8" s="12" t="s">
        <v>69</v>
      </c>
      <c r="AB8" s="11" t="s">
        <v>60</v>
      </c>
      <c r="AC8" s="12" t="s">
        <v>61</v>
      </c>
      <c r="AD8" s="11" t="s">
        <v>51</v>
      </c>
      <c r="AE8" s="12" t="s">
        <v>52</v>
      </c>
      <c r="AF8" s="14">
        <v>0.21966000000000002</v>
      </c>
      <c r="AG8" s="11" t="s">
        <v>44</v>
      </c>
    </row>
    <row r="9" spans="1:33" x14ac:dyDescent="0.2">
      <c r="A9" s="8">
        <v>2374</v>
      </c>
      <c r="B9" s="9" t="s">
        <v>72</v>
      </c>
      <c r="C9" s="10">
        <v>43269</v>
      </c>
      <c r="D9" s="11">
        <v>176</v>
      </c>
      <c r="E9" s="12" t="s">
        <v>34</v>
      </c>
      <c r="F9" s="12" t="s">
        <v>34</v>
      </c>
      <c r="G9" s="12" t="s">
        <v>34</v>
      </c>
      <c r="H9" s="12" t="s">
        <v>35</v>
      </c>
      <c r="I9" s="11" t="s">
        <v>56</v>
      </c>
      <c r="J9" s="12" t="s">
        <v>57</v>
      </c>
      <c r="K9" s="13" t="s">
        <v>58</v>
      </c>
      <c r="L9" s="11" t="str">
        <f>"000026"</f>
        <v>000026</v>
      </c>
      <c r="M9" s="10">
        <v>42521</v>
      </c>
      <c r="N9" s="11" t="str">
        <f>"000194"</f>
        <v>000194</v>
      </c>
      <c r="O9" s="10">
        <v>42825</v>
      </c>
      <c r="P9" s="11" t="str">
        <f>"000419"</f>
        <v>000419</v>
      </c>
      <c r="Q9" s="10">
        <v>42825</v>
      </c>
      <c r="R9" s="11">
        <v>16</v>
      </c>
      <c r="S9" s="11" t="str">
        <f>"002544"</f>
        <v>002544</v>
      </c>
      <c r="T9" s="10">
        <v>43265</v>
      </c>
      <c r="U9" s="14">
        <v>3.9927999999999999</v>
      </c>
      <c r="V9" s="14">
        <v>0.44320999999999999</v>
      </c>
      <c r="W9" s="14">
        <v>3.5495899999999998</v>
      </c>
      <c r="X9" s="11">
        <v>91</v>
      </c>
      <c r="Y9" s="10">
        <v>43269</v>
      </c>
      <c r="Z9" s="11">
        <v>9916364289</v>
      </c>
      <c r="AA9" s="12" t="s">
        <v>59</v>
      </c>
      <c r="AB9" s="11" t="s">
        <v>60</v>
      </c>
      <c r="AC9" s="12" t="s">
        <v>61</v>
      </c>
      <c r="AD9" s="11" t="s">
        <v>51</v>
      </c>
      <c r="AE9" s="12" t="s">
        <v>52</v>
      </c>
      <c r="AF9" s="14">
        <v>3.9927999999999998E-2</v>
      </c>
      <c r="AG9" s="11" t="s">
        <v>44</v>
      </c>
    </row>
    <row r="10" spans="1:33" x14ac:dyDescent="0.2">
      <c r="A10" s="8">
        <v>2754</v>
      </c>
      <c r="B10" s="9" t="s">
        <v>72</v>
      </c>
      <c r="C10" s="10">
        <v>43278</v>
      </c>
      <c r="D10" s="11">
        <v>176</v>
      </c>
      <c r="E10" s="12" t="s">
        <v>34</v>
      </c>
      <c r="F10" s="12" t="s">
        <v>34</v>
      </c>
      <c r="G10" s="12" t="s">
        <v>34</v>
      </c>
      <c r="H10" s="12" t="s">
        <v>35</v>
      </c>
      <c r="I10" s="11" t="s">
        <v>73</v>
      </c>
      <c r="J10" s="12" t="s">
        <v>74</v>
      </c>
      <c r="K10" s="13" t="s">
        <v>58</v>
      </c>
      <c r="L10" s="11" t="str">
        <f>"000071"</f>
        <v>000071</v>
      </c>
      <c r="M10" s="10">
        <v>42642</v>
      </c>
      <c r="N10" s="11" t="str">
        <f>"000007"</f>
        <v>000007</v>
      </c>
      <c r="O10" s="10">
        <v>42927</v>
      </c>
      <c r="P10" s="11" t="str">
        <f>"000210"</f>
        <v>000210</v>
      </c>
      <c r="Q10" s="10">
        <v>42642</v>
      </c>
      <c r="R10" s="11">
        <v>15</v>
      </c>
      <c r="S10" s="11" t="str">
        <f>"003032"</f>
        <v>003032</v>
      </c>
      <c r="T10" s="10">
        <v>43277</v>
      </c>
      <c r="U10" s="14">
        <v>19.538679999999999</v>
      </c>
      <c r="V10" s="14">
        <v>2.4641600000000001</v>
      </c>
      <c r="W10" s="14">
        <v>17.07452</v>
      </c>
      <c r="X10" s="11">
        <v>103</v>
      </c>
      <c r="Y10" s="10">
        <v>43278</v>
      </c>
      <c r="Z10" s="11">
        <v>9901698462</v>
      </c>
      <c r="AA10" s="12" t="s">
        <v>75</v>
      </c>
      <c r="AB10" s="11" t="s">
        <v>60</v>
      </c>
      <c r="AC10" s="12" t="s">
        <v>61</v>
      </c>
      <c r="AD10" s="11" t="s">
        <v>51</v>
      </c>
      <c r="AE10" s="12" t="s">
        <v>52</v>
      </c>
      <c r="AF10" s="14">
        <v>0.1953868</v>
      </c>
      <c r="AG10" s="11" t="s">
        <v>44</v>
      </c>
    </row>
    <row r="11" spans="1:33" x14ac:dyDescent="0.2">
      <c r="A11" s="8">
        <v>2954</v>
      </c>
      <c r="B11" s="9" t="s">
        <v>76</v>
      </c>
      <c r="C11" s="10">
        <v>43283</v>
      </c>
      <c r="D11" s="11">
        <v>176</v>
      </c>
      <c r="E11" s="12" t="s">
        <v>34</v>
      </c>
      <c r="F11" s="12" t="s">
        <v>34</v>
      </c>
      <c r="G11" s="12" t="s">
        <v>34</v>
      </c>
      <c r="H11" s="12" t="s">
        <v>35</v>
      </c>
      <c r="I11" s="11" t="s">
        <v>77</v>
      </c>
      <c r="J11" s="12" t="s">
        <v>78</v>
      </c>
      <c r="K11" s="13" t="s">
        <v>47</v>
      </c>
      <c r="L11" s="11" t="str">
        <f>"000104"</f>
        <v>000104</v>
      </c>
      <c r="M11" s="10">
        <v>42825</v>
      </c>
      <c r="N11" s="11" t="str">
        <f>"000191"</f>
        <v>000191</v>
      </c>
      <c r="O11" s="10">
        <v>42819</v>
      </c>
      <c r="P11" s="11" t="str">
        <f>"000409"</f>
        <v>000409</v>
      </c>
      <c r="Q11" s="10">
        <v>42825</v>
      </c>
      <c r="R11" s="11">
        <v>15</v>
      </c>
      <c r="S11" s="11" t="str">
        <f>"003021"</f>
        <v>003021</v>
      </c>
      <c r="T11" s="10">
        <v>43277</v>
      </c>
      <c r="U11" s="14">
        <v>9.9270999999999994</v>
      </c>
      <c r="V11" s="14">
        <v>1.18126</v>
      </c>
      <c r="W11" s="14">
        <v>8.7458399999999994</v>
      </c>
      <c r="X11" s="11">
        <v>108</v>
      </c>
      <c r="Y11" s="10">
        <v>43283</v>
      </c>
      <c r="Z11" s="11">
        <v>9916997189</v>
      </c>
      <c r="AA11" s="12" t="s">
        <v>79</v>
      </c>
      <c r="AB11" s="11" t="s">
        <v>60</v>
      </c>
      <c r="AC11" s="12" t="s">
        <v>61</v>
      </c>
      <c r="AD11" s="11" t="s">
        <v>51</v>
      </c>
      <c r="AE11" s="12" t="s">
        <v>52</v>
      </c>
      <c r="AF11" s="14">
        <v>9.9270999999999998E-2</v>
      </c>
      <c r="AG11" s="11" t="s">
        <v>44</v>
      </c>
    </row>
    <row r="12" spans="1:33" x14ac:dyDescent="0.2">
      <c r="A12" s="8">
        <v>3616</v>
      </c>
      <c r="B12" s="9" t="s">
        <v>76</v>
      </c>
      <c r="C12" s="10">
        <v>43299</v>
      </c>
      <c r="D12" s="11">
        <v>176</v>
      </c>
      <c r="E12" s="12" t="s">
        <v>34</v>
      </c>
      <c r="F12" s="12" t="s">
        <v>34</v>
      </c>
      <c r="G12" s="12" t="s">
        <v>34</v>
      </c>
      <c r="H12" s="12" t="s">
        <v>35</v>
      </c>
      <c r="I12" s="11" t="s">
        <v>80</v>
      </c>
      <c r="J12" s="12" t="s">
        <v>81</v>
      </c>
      <c r="K12" s="13" t="s">
        <v>38</v>
      </c>
      <c r="L12" s="11" t="str">
        <f>"000002"</f>
        <v>000002</v>
      </c>
      <c r="M12" s="10">
        <v>42930</v>
      </c>
      <c r="N12" s="11" t="str">
        <f>"000156"</f>
        <v>000156</v>
      </c>
      <c r="O12" s="10">
        <v>43186</v>
      </c>
      <c r="P12" s="11" t="str">
        <f>"000157"</f>
        <v>000157</v>
      </c>
      <c r="Q12" s="10">
        <v>43187</v>
      </c>
      <c r="R12" s="11">
        <v>16</v>
      </c>
      <c r="S12" s="11" t="str">
        <f>"004325"</f>
        <v>004325</v>
      </c>
      <c r="T12" s="10">
        <v>43306</v>
      </c>
      <c r="U12" s="14">
        <v>16.494710000000001</v>
      </c>
      <c r="V12" s="14">
        <v>1.2761199999999999</v>
      </c>
      <c r="W12" s="14">
        <v>15.218590000000001</v>
      </c>
      <c r="X12" s="11">
        <v>127</v>
      </c>
      <c r="Y12" s="10">
        <v>43299</v>
      </c>
      <c r="Z12" s="11">
        <v>0</v>
      </c>
      <c r="AA12" s="12" t="s">
        <v>82</v>
      </c>
      <c r="AB12" s="11" t="s">
        <v>83</v>
      </c>
      <c r="AC12" s="12" t="s">
        <v>84</v>
      </c>
      <c r="AD12" s="11" t="s">
        <v>85</v>
      </c>
      <c r="AE12" s="12" t="s">
        <v>86</v>
      </c>
      <c r="AF12" s="14">
        <v>0.16494710000000001</v>
      </c>
      <c r="AG12" s="11" t="s">
        <v>44</v>
      </c>
    </row>
    <row r="13" spans="1:33" x14ac:dyDescent="0.2">
      <c r="A13" s="8">
        <v>3617</v>
      </c>
      <c r="B13" s="9" t="s">
        <v>76</v>
      </c>
      <c r="C13" s="10">
        <v>43299</v>
      </c>
      <c r="D13" s="11">
        <v>176</v>
      </c>
      <c r="E13" s="12" t="s">
        <v>34</v>
      </c>
      <c r="F13" s="12" t="s">
        <v>34</v>
      </c>
      <c r="G13" s="12" t="s">
        <v>34</v>
      </c>
      <c r="H13" s="12" t="s">
        <v>35</v>
      </c>
      <c r="I13" s="11" t="s">
        <v>87</v>
      </c>
      <c r="J13" s="12" t="s">
        <v>88</v>
      </c>
      <c r="K13" s="13" t="s">
        <v>89</v>
      </c>
      <c r="L13" s="11" t="str">
        <f>"00048"</f>
        <v>00048</v>
      </c>
      <c r="M13" s="10">
        <v>42448</v>
      </c>
      <c r="N13" s="11" t="str">
        <f>"000167"</f>
        <v>000167</v>
      </c>
      <c r="O13" s="10">
        <v>42748</v>
      </c>
      <c r="P13" s="11" t="str">
        <f>"000339"</f>
        <v>000339</v>
      </c>
      <c r="Q13" s="10">
        <v>42765</v>
      </c>
      <c r="R13" s="11">
        <v>16</v>
      </c>
      <c r="S13" s="11" t="str">
        <f>"003806"</f>
        <v>003806</v>
      </c>
      <c r="T13" s="10">
        <v>43297</v>
      </c>
      <c r="U13" s="14">
        <v>4.4797099999999999</v>
      </c>
      <c r="V13" s="14">
        <v>0.55562</v>
      </c>
      <c r="W13" s="14">
        <v>3.9240900000000001</v>
      </c>
      <c r="X13" s="11">
        <v>129</v>
      </c>
      <c r="Y13" s="10">
        <v>43299</v>
      </c>
      <c r="Z13" s="11">
        <v>9986960367</v>
      </c>
      <c r="AA13" s="12" t="s">
        <v>90</v>
      </c>
      <c r="AB13" s="11" t="s">
        <v>91</v>
      </c>
      <c r="AC13" s="12" t="s">
        <v>92</v>
      </c>
      <c r="AD13" s="11" t="s">
        <v>51</v>
      </c>
      <c r="AE13" s="12" t="s">
        <v>52</v>
      </c>
      <c r="AF13" s="14">
        <v>4.4797099999999999E-2</v>
      </c>
      <c r="AG13" s="11" t="s">
        <v>44</v>
      </c>
    </row>
    <row r="14" spans="1:33" x14ac:dyDescent="0.2">
      <c r="A14" s="8">
        <v>4024</v>
      </c>
      <c r="B14" s="9" t="s">
        <v>76</v>
      </c>
      <c r="C14" s="10">
        <v>43307</v>
      </c>
      <c r="D14" s="11">
        <v>176</v>
      </c>
      <c r="E14" s="12" t="s">
        <v>34</v>
      </c>
      <c r="F14" s="12" t="s">
        <v>34</v>
      </c>
      <c r="G14" s="12" t="s">
        <v>34</v>
      </c>
      <c r="H14" s="12" t="s">
        <v>35</v>
      </c>
      <c r="I14" s="11" t="s">
        <v>93</v>
      </c>
      <c r="J14" s="12" t="s">
        <v>94</v>
      </c>
      <c r="K14" s="13" t="s">
        <v>47</v>
      </c>
      <c r="L14" s="11" t="str">
        <f>"000040"</f>
        <v>000040</v>
      </c>
      <c r="M14" s="10">
        <v>42793</v>
      </c>
      <c r="N14" s="11" t="str">
        <f>"000182"</f>
        <v>000182</v>
      </c>
      <c r="O14" s="10">
        <v>42793</v>
      </c>
      <c r="P14" s="11" t="str">
        <f>"000372"</f>
        <v>000372</v>
      </c>
      <c r="Q14" s="10">
        <v>42793</v>
      </c>
      <c r="R14" s="11">
        <v>16</v>
      </c>
      <c r="S14" s="11" t="str">
        <f>"004233"</f>
        <v>004233</v>
      </c>
      <c r="T14" s="10">
        <v>43305</v>
      </c>
      <c r="U14" s="14">
        <v>9.9100300000000008</v>
      </c>
      <c r="V14" s="14">
        <v>1.2784599999999999</v>
      </c>
      <c r="W14" s="14">
        <v>8.63157</v>
      </c>
      <c r="X14" s="11">
        <v>142</v>
      </c>
      <c r="Y14" s="10">
        <v>43307</v>
      </c>
      <c r="Z14" s="11">
        <v>9731015055</v>
      </c>
      <c r="AA14" s="12" t="s">
        <v>95</v>
      </c>
      <c r="AB14" s="11" t="s">
        <v>60</v>
      </c>
      <c r="AC14" s="12" t="s">
        <v>61</v>
      </c>
      <c r="AD14" s="11" t="s">
        <v>51</v>
      </c>
      <c r="AE14" s="12" t="s">
        <v>52</v>
      </c>
      <c r="AF14" s="14">
        <v>9.9100300000000002E-2</v>
      </c>
      <c r="AG14" s="11" t="s">
        <v>44</v>
      </c>
    </row>
    <row r="15" spans="1:33" x14ac:dyDescent="0.2">
      <c r="A15" s="8">
        <v>4179</v>
      </c>
      <c r="B15" s="9" t="s">
        <v>76</v>
      </c>
      <c r="C15" s="10">
        <v>43308</v>
      </c>
      <c r="D15" s="11">
        <v>176</v>
      </c>
      <c r="E15" s="12" t="s">
        <v>34</v>
      </c>
      <c r="F15" s="12" t="s">
        <v>34</v>
      </c>
      <c r="G15" s="12" t="s">
        <v>34</v>
      </c>
      <c r="H15" s="12" t="s">
        <v>35</v>
      </c>
      <c r="I15" s="11" t="s">
        <v>80</v>
      </c>
      <c r="J15" s="12" t="s">
        <v>81</v>
      </c>
      <c r="K15" s="13" t="s">
        <v>38</v>
      </c>
      <c r="L15" s="11" t="str">
        <f>"000002"</f>
        <v>000002</v>
      </c>
      <c r="M15" s="10">
        <v>42930</v>
      </c>
      <c r="N15" s="11" t="str">
        <f>"000156"</f>
        <v>000156</v>
      </c>
      <c r="O15" s="10">
        <v>43186</v>
      </c>
      <c r="P15" s="11" t="str">
        <f>"000157"</f>
        <v>000157</v>
      </c>
      <c r="Q15" s="10">
        <v>43187</v>
      </c>
      <c r="R15" s="11">
        <v>16</v>
      </c>
      <c r="S15" s="11" t="str">
        <f>"004325"</f>
        <v>004325</v>
      </c>
      <c r="T15" s="10">
        <v>43306</v>
      </c>
      <c r="U15" s="14">
        <v>5.49824</v>
      </c>
      <c r="V15" s="14">
        <v>0.42336000000000001</v>
      </c>
      <c r="W15" s="14">
        <v>5.0748800000000003</v>
      </c>
      <c r="X15" s="11">
        <v>146</v>
      </c>
      <c r="Y15" s="10">
        <v>43308</v>
      </c>
      <c r="Z15" s="11">
        <v>0</v>
      </c>
      <c r="AA15" s="12" t="s">
        <v>82</v>
      </c>
      <c r="AB15" s="11" t="s">
        <v>83</v>
      </c>
      <c r="AC15" s="12" t="s">
        <v>84</v>
      </c>
      <c r="AD15" s="11" t="s">
        <v>85</v>
      </c>
      <c r="AE15" s="12" t="s">
        <v>86</v>
      </c>
      <c r="AF15" s="14">
        <v>5.4982400000000001E-2</v>
      </c>
      <c r="AG15" s="11" t="s">
        <v>44</v>
      </c>
    </row>
    <row r="16" spans="1:33" x14ac:dyDescent="0.2">
      <c r="A16" s="8">
        <v>4602</v>
      </c>
      <c r="B16" s="9" t="s">
        <v>96</v>
      </c>
      <c r="C16" s="10">
        <v>43318</v>
      </c>
      <c r="D16" s="11">
        <v>176</v>
      </c>
      <c r="E16" s="12" t="s">
        <v>34</v>
      </c>
      <c r="F16" s="12" t="s">
        <v>34</v>
      </c>
      <c r="G16" s="12" t="s">
        <v>34</v>
      </c>
      <c r="H16" s="12" t="s">
        <v>35</v>
      </c>
      <c r="I16" s="11" t="s">
        <v>97</v>
      </c>
      <c r="J16" s="12" t="s">
        <v>98</v>
      </c>
      <c r="K16" s="13" t="s">
        <v>38</v>
      </c>
      <c r="L16" s="11" t="str">
        <f>"000056"</f>
        <v>000056</v>
      </c>
      <c r="M16" s="10">
        <v>42633</v>
      </c>
      <c r="N16" s="11" t="str">
        <f>"000003"</f>
        <v>000003</v>
      </c>
      <c r="O16" s="10">
        <v>42927</v>
      </c>
      <c r="P16" s="11" t="str">
        <f>"000289"</f>
        <v>000289</v>
      </c>
      <c r="Q16" s="10">
        <v>42706</v>
      </c>
      <c r="R16" s="11">
        <v>17</v>
      </c>
      <c r="S16" s="11" t="str">
        <f>"004709"</f>
        <v>004709</v>
      </c>
      <c r="T16" s="10">
        <v>43314</v>
      </c>
      <c r="U16" s="14">
        <v>31.994669999999999</v>
      </c>
      <c r="V16" s="14">
        <v>4.4268000000000001</v>
      </c>
      <c r="W16" s="14">
        <v>27.567869999999999</v>
      </c>
      <c r="X16" s="11">
        <v>159</v>
      </c>
      <c r="Y16" s="10">
        <v>43318</v>
      </c>
      <c r="Z16" s="11">
        <v>9901698162</v>
      </c>
      <c r="AA16" s="12" t="s">
        <v>99</v>
      </c>
      <c r="AB16" s="11" t="s">
        <v>100</v>
      </c>
      <c r="AC16" s="12" t="s">
        <v>101</v>
      </c>
      <c r="AD16" s="11" t="s">
        <v>51</v>
      </c>
      <c r="AE16" s="12" t="s">
        <v>52</v>
      </c>
      <c r="AF16" s="14">
        <v>0.31994669999999997</v>
      </c>
      <c r="AG16" s="11" t="s">
        <v>44</v>
      </c>
    </row>
    <row r="17" spans="1:33" x14ac:dyDescent="0.2">
      <c r="A17" s="8">
        <v>4603</v>
      </c>
      <c r="B17" s="9" t="s">
        <v>96</v>
      </c>
      <c r="C17" s="10">
        <v>43318</v>
      </c>
      <c r="D17" s="11">
        <v>176</v>
      </c>
      <c r="E17" s="12" t="s">
        <v>34</v>
      </c>
      <c r="F17" s="12" t="s">
        <v>34</v>
      </c>
      <c r="G17" s="12" t="s">
        <v>34</v>
      </c>
      <c r="H17" s="12" t="s">
        <v>35</v>
      </c>
      <c r="I17" s="11" t="s">
        <v>102</v>
      </c>
      <c r="J17" s="12" t="s">
        <v>103</v>
      </c>
      <c r="K17" s="13" t="s">
        <v>38</v>
      </c>
      <c r="L17" s="11" t="str">
        <f>"00042"</f>
        <v>00042</v>
      </c>
      <c r="M17" s="10">
        <v>42594</v>
      </c>
      <c r="N17" s="11" t="str">
        <f>"000006"</f>
        <v>000006</v>
      </c>
      <c r="O17" s="10">
        <v>42927</v>
      </c>
      <c r="P17" s="11" t="str">
        <f>"000315"</f>
        <v>000315</v>
      </c>
      <c r="Q17" s="10">
        <v>42734</v>
      </c>
      <c r="R17" s="11">
        <v>16</v>
      </c>
      <c r="S17" s="11" t="str">
        <f>"004710"</f>
        <v>004710</v>
      </c>
      <c r="T17" s="10">
        <v>43314</v>
      </c>
      <c r="U17" s="14">
        <v>24.963719999999999</v>
      </c>
      <c r="V17" s="14">
        <v>3.33344</v>
      </c>
      <c r="W17" s="14">
        <v>21.630279999999999</v>
      </c>
      <c r="X17" s="11">
        <v>159</v>
      </c>
      <c r="Y17" s="10">
        <v>43318</v>
      </c>
      <c r="Z17" s="11">
        <v>9901698462</v>
      </c>
      <c r="AA17" s="12" t="s">
        <v>99</v>
      </c>
      <c r="AB17" s="11" t="s">
        <v>100</v>
      </c>
      <c r="AC17" s="12" t="s">
        <v>101</v>
      </c>
      <c r="AD17" s="11" t="s">
        <v>51</v>
      </c>
      <c r="AE17" s="12" t="s">
        <v>52</v>
      </c>
      <c r="AF17" s="14">
        <v>0.24963719999999998</v>
      </c>
      <c r="AG17" s="11" t="s">
        <v>44</v>
      </c>
    </row>
    <row r="18" spans="1:33" x14ac:dyDescent="0.2">
      <c r="A18" s="8">
        <v>4604</v>
      </c>
      <c r="B18" s="9" t="s">
        <v>96</v>
      </c>
      <c r="C18" s="10">
        <v>43318</v>
      </c>
      <c r="D18" s="11">
        <v>176</v>
      </c>
      <c r="E18" s="12" t="s">
        <v>34</v>
      </c>
      <c r="F18" s="12" t="s">
        <v>34</v>
      </c>
      <c r="G18" s="12" t="s">
        <v>34</v>
      </c>
      <c r="H18" s="12" t="s">
        <v>35</v>
      </c>
      <c r="I18" s="11" t="s">
        <v>104</v>
      </c>
      <c r="J18" s="12" t="s">
        <v>105</v>
      </c>
      <c r="K18" s="13" t="s">
        <v>38</v>
      </c>
      <c r="L18" s="11" t="str">
        <f>"00044"</f>
        <v>00044</v>
      </c>
      <c r="M18" s="10">
        <v>42594</v>
      </c>
      <c r="N18" s="11" t="str">
        <f>"000001"</f>
        <v>000001</v>
      </c>
      <c r="O18" s="10">
        <v>42825</v>
      </c>
      <c r="P18" s="11" t="str">
        <f>"000335"</f>
        <v>000335</v>
      </c>
      <c r="Q18" s="10">
        <v>42736</v>
      </c>
      <c r="R18" s="11">
        <v>16</v>
      </c>
      <c r="S18" s="11" t="str">
        <f>"004712"</f>
        <v>004712</v>
      </c>
      <c r="T18" s="10">
        <v>43314</v>
      </c>
      <c r="U18" s="14">
        <v>29.998670000000001</v>
      </c>
      <c r="V18" s="14">
        <v>4.1631400000000003</v>
      </c>
      <c r="W18" s="14">
        <v>25.835529999999999</v>
      </c>
      <c r="X18" s="11">
        <v>159</v>
      </c>
      <c r="Y18" s="10">
        <v>43318</v>
      </c>
      <c r="Z18" s="11">
        <v>9901698462</v>
      </c>
      <c r="AA18" s="12" t="s">
        <v>99</v>
      </c>
      <c r="AB18" s="11" t="s">
        <v>100</v>
      </c>
      <c r="AC18" s="12" t="s">
        <v>101</v>
      </c>
      <c r="AD18" s="11" t="s">
        <v>51</v>
      </c>
      <c r="AE18" s="12" t="s">
        <v>52</v>
      </c>
      <c r="AF18" s="14">
        <v>0.2999867</v>
      </c>
      <c r="AG18" s="11" t="s">
        <v>44</v>
      </c>
    </row>
    <row r="19" spans="1:33" x14ac:dyDescent="0.2">
      <c r="A19" s="8">
        <v>4896</v>
      </c>
      <c r="B19" s="9" t="s">
        <v>96</v>
      </c>
      <c r="C19" s="10">
        <v>43326</v>
      </c>
      <c r="D19" s="11">
        <v>176</v>
      </c>
      <c r="E19" s="12" t="s">
        <v>34</v>
      </c>
      <c r="F19" s="12" t="s">
        <v>34</v>
      </c>
      <c r="G19" s="12" t="s">
        <v>34</v>
      </c>
      <c r="H19" s="12" t="s">
        <v>35</v>
      </c>
      <c r="I19" s="11" t="s">
        <v>106</v>
      </c>
      <c r="J19" s="12" t="s">
        <v>107</v>
      </c>
      <c r="K19" s="13" t="s">
        <v>38</v>
      </c>
      <c r="L19" s="11" t="str">
        <f>"00013"</f>
        <v>00013</v>
      </c>
      <c r="M19" s="10">
        <v>42516</v>
      </c>
      <c r="N19" s="11" t="str">
        <f>"000005"</f>
        <v>000005</v>
      </c>
      <c r="O19" s="10">
        <v>42927</v>
      </c>
      <c r="P19" s="11" t="str">
        <f>"000290"</f>
        <v>000290</v>
      </c>
      <c r="Q19" s="10">
        <v>42706</v>
      </c>
      <c r="R19" s="11">
        <v>14</v>
      </c>
      <c r="S19" s="11" t="str">
        <f>"004900"</f>
        <v>004900</v>
      </c>
      <c r="T19" s="10">
        <v>43318</v>
      </c>
      <c r="U19" s="14">
        <v>32.270440000000001</v>
      </c>
      <c r="V19" s="14">
        <v>4.5912600000000001</v>
      </c>
      <c r="W19" s="14">
        <v>27.679179999999999</v>
      </c>
      <c r="X19" s="11">
        <v>170</v>
      </c>
      <c r="Y19" s="10">
        <v>43326</v>
      </c>
      <c r="Z19" s="11">
        <v>9901698462</v>
      </c>
      <c r="AA19" s="12" t="s">
        <v>99</v>
      </c>
      <c r="AB19" s="11" t="s">
        <v>108</v>
      </c>
      <c r="AC19" s="12" t="s">
        <v>109</v>
      </c>
      <c r="AD19" s="11" t="s">
        <v>51</v>
      </c>
      <c r="AE19" s="12" t="s">
        <v>52</v>
      </c>
      <c r="AF19" s="14">
        <v>0.3227044</v>
      </c>
      <c r="AG19" s="11" t="s">
        <v>44</v>
      </c>
    </row>
    <row r="20" spans="1:33" x14ac:dyDescent="0.2">
      <c r="A20" s="8">
        <v>5334</v>
      </c>
      <c r="B20" s="9" t="s">
        <v>110</v>
      </c>
      <c r="C20" s="10">
        <v>43346</v>
      </c>
      <c r="D20" s="11">
        <v>176</v>
      </c>
      <c r="E20" s="12" t="s">
        <v>34</v>
      </c>
      <c r="F20" s="12" t="s">
        <v>34</v>
      </c>
      <c r="G20" s="12" t="s">
        <v>34</v>
      </c>
      <c r="H20" s="12" t="s">
        <v>35</v>
      </c>
      <c r="I20" s="11" t="s">
        <v>111</v>
      </c>
      <c r="J20" s="12" t="s">
        <v>112</v>
      </c>
      <c r="K20" s="13" t="s">
        <v>38</v>
      </c>
      <c r="L20" s="11" t="str">
        <f>"00043."</f>
        <v>00043.</v>
      </c>
      <c r="M20" s="10">
        <v>42734</v>
      </c>
      <c r="N20" s="11" t="str">
        <f>"000001"</f>
        <v>000001</v>
      </c>
      <c r="O20" s="10">
        <v>42927</v>
      </c>
      <c r="P20" s="11" t="str">
        <f>"000317"</f>
        <v>000317</v>
      </c>
      <c r="Q20" s="10">
        <v>42734</v>
      </c>
      <c r="R20" s="11">
        <v>16</v>
      </c>
      <c r="S20" s="11" t="str">
        <f>"005328"</f>
        <v>005328</v>
      </c>
      <c r="T20" s="10">
        <v>43333</v>
      </c>
      <c r="U20" s="14">
        <v>34.991219999999998</v>
      </c>
      <c r="V20" s="14">
        <v>4.9832000000000001</v>
      </c>
      <c r="W20" s="14">
        <v>30.008019999999998</v>
      </c>
      <c r="X20" s="11">
        <v>193</v>
      </c>
      <c r="Y20" s="10">
        <v>43346</v>
      </c>
      <c r="Z20" s="11">
        <v>9901698462</v>
      </c>
      <c r="AA20" s="12" t="s">
        <v>99</v>
      </c>
      <c r="AB20" s="11" t="s">
        <v>100</v>
      </c>
      <c r="AC20" s="12" t="s">
        <v>101</v>
      </c>
      <c r="AD20" s="11" t="s">
        <v>51</v>
      </c>
      <c r="AE20" s="12" t="s">
        <v>52</v>
      </c>
      <c r="AF20" s="14">
        <f t="shared" ref="AF20:AF58" si="0">U20/100</f>
        <v>0.34991220000000001</v>
      </c>
      <c r="AG20" s="11" t="s">
        <v>44</v>
      </c>
    </row>
    <row r="21" spans="1:33" x14ac:dyDescent="0.2">
      <c r="A21" s="8">
        <v>5507</v>
      </c>
      <c r="B21" s="9" t="s">
        <v>110</v>
      </c>
      <c r="C21" s="10">
        <v>43357</v>
      </c>
      <c r="D21" s="11">
        <v>176</v>
      </c>
      <c r="E21" s="12" t="s">
        <v>34</v>
      </c>
      <c r="F21" s="12" t="s">
        <v>34</v>
      </c>
      <c r="G21" s="12" t="s">
        <v>34</v>
      </c>
      <c r="H21" s="12" t="s">
        <v>35</v>
      </c>
      <c r="I21" s="11" t="s">
        <v>113</v>
      </c>
      <c r="J21" s="12" t="s">
        <v>114</v>
      </c>
      <c r="K21" s="13" t="s">
        <v>89</v>
      </c>
      <c r="L21" s="11" t="str">
        <f>"000039"</f>
        <v>000039</v>
      </c>
      <c r="M21" s="10">
        <v>43025</v>
      </c>
      <c r="N21" s="11" t="str">
        <f>"000032"</f>
        <v>000032</v>
      </c>
      <c r="O21" s="10">
        <v>43036</v>
      </c>
      <c r="P21" s="11" t="str">
        <f>"000059"</f>
        <v>000059</v>
      </c>
      <c r="Q21" s="10">
        <v>43049</v>
      </c>
      <c r="R21" s="11">
        <v>17</v>
      </c>
      <c r="S21" s="11" t="str">
        <f>"005668"</f>
        <v>005668</v>
      </c>
      <c r="T21" s="10">
        <v>43350</v>
      </c>
      <c r="U21" s="14">
        <v>14.424530000000001</v>
      </c>
      <c r="V21" s="14">
        <v>1.32016</v>
      </c>
      <c r="W21" s="14">
        <v>13.104369999999999</v>
      </c>
      <c r="X21" s="11">
        <v>204</v>
      </c>
      <c r="Y21" s="10">
        <v>43357</v>
      </c>
      <c r="Z21" s="11">
        <v>9845135453</v>
      </c>
      <c r="AA21" s="12" t="s">
        <v>115</v>
      </c>
      <c r="AB21" s="11" t="s">
        <v>91</v>
      </c>
      <c r="AC21" s="12" t="s">
        <v>92</v>
      </c>
      <c r="AD21" s="11" t="s">
        <v>51</v>
      </c>
      <c r="AE21" s="12" t="s">
        <v>52</v>
      </c>
      <c r="AF21" s="14">
        <f t="shared" si="0"/>
        <v>0.14424530000000002</v>
      </c>
      <c r="AG21" s="11" t="s">
        <v>44</v>
      </c>
    </row>
    <row r="22" spans="1:33" x14ac:dyDescent="0.2">
      <c r="A22" s="8">
        <v>5872</v>
      </c>
      <c r="B22" s="9" t="s">
        <v>116</v>
      </c>
      <c r="C22" s="10">
        <v>43382</v>
      </c>
      <c r="D22" s="11">
        <v>176</v>
      </c>
      <c r="E22" s="12" t="s">
        <v>34</v>
      </c>
      <c r="F22" s="12" t="s">
        <v>34</v>
      </c>
      <c r="G22" s="12" t="s">
        <v>34</v>
      </c>
      <c r="H22" s="12" t="s">
        <v>35</v>
      </c>
      <c r="I22" s="11" t="s">
        <v>117</v>
      </c>
      <c r="J22" s="12" t="s">
        <v>118</v>
      </c>
      <c r="K22" s="13" t="s">
        <v>38</v>
      </c>
      <c r="L22" s="11" t="str">
        <f>"000244"</f>
        <v>000244</v>
      </c>
      <c r="M22" s="10">
        <v>43361</v>
      </c>
      <c r="N22" s="11" t="str">
        <f>"000054"</f>
        <v>000054</v>
      </c>
      <c r="O22" s="10">
        <v>43362</v>
      </c>
      <c r="P22" s="11" t="str">
        <f>"000121"</f>
        <v>000121</v>
      </c>
      <c r="Q22" s="10">
        <v>43369</v>
      </c>
      <c r="R22" s="11">
        <v>18</v>
      </c>
      <c r="S22" s="11" t="str">
        <f>"006434"</f>
        <v>006434</v>
      </c>
      <c r="T22" s="10">
        <v>43382</v>
      </c>
      <c r="U22" s="14">
        <v>22.997350000000001</v>
      </c>
      <c r="V22" s="14">
        <v>1.6828000000000001</v>
      </c>
      <c r="W22" s="14">
        <v>21.314550000000001</v>
      </c>
      <c r="X22" s="11">
        <v>223</v>
      </c>
      <c r="Y22" s="10">
        <v>43382</v>
      </c>
      <c r="Z22" s="11">
        <v>9886556767</v>
      </c>
      <c r="AA22" s="12" t="s">
        <v>119</v>
      </c>
      <c r="AB22" s="11" t="s">
        <v>120</v>
      </c>
      <c r="AC22" s="12" t="s">
        <v>121</v>
      </c>
      <c r="AD22" s="11" t="s">
        <v>51</v>
      </c>
      <c r="AE22" s="12" t="s">
        <v>52</v>
      </c>
      <c r="AF22" s="14">
        <f t="shared" si="0"/>
        <v>0.2299735</v>
      </c>
      <c r="AG22" s="11" t="s">
        <v>122</v>
      </c>
    </row>
    <row r="23" spans="1:33" x14ac:dyDescent="0.2">
      <c r="A23" s="8">
        <v>5873</v>
      </c>
      <c r="B23" s="9" t="s">
        <v>116</v>
      </c>
      <c r="C23" s="10">
        <v>43382</v>
      </c>
      <c r="D23" s="11">
        <v>176</v>
      </c>
      <c r="E23" s="12" t="s">
        <v>34</v>
      </c>
      <c r="F23" s="12" t="s">
        <v>34</v>
      </c>
      <c r="G23" s="12" t="s">
        <v>34</v>
      </c>
      <c r="H23" s="12" t="s">
        <v>35</v>
      </c>
      <c r="I23" s="11" t="s">
        <v>117</v>
      </c>
      <c r="J23" s="12" t="s">
        <v>118</v>
      </c>
      <c r="K23" s="13" t="s">
        <v>38</v>
      </c>
      <c r="L23" s="11" t="str">
        <f>"000244"</f>
        <v>000244</v>
      </c>
      <c r="M23" s="10">
        <v>43361</v>
      </c>
      <c r="N23" s="11" t="str">
        <f>"000054"</f>
        <v>000054</v>
      </c>
      <c r="O23" s="10">
        <v>43362</v>
      </c>
      <c r="P23" s="11" t="str">
        <f>"000121"</f>
        <v>000121</v>
      </c>
      <c r="Q23" s="10">
        <v>43369</v>
      </c>
      <c r="R23" s="11">
        <v>18</v>
      </c>
      <c r="S23" s="11" t="str">
        <f>"006434"</f>
        <v>006434</v>
      </c>
      <c r="T23" s="10">
        <v>43382</v>
      </c>
      <c r="U23" s="14">
        <v>22.997350000000001</v>
      </c>
      <c r="V23" s="14">
        <v>1.6828000000000001</v>
      </c>
      <c r="W23" s="14">
        <v>21.314550000000001</v>
      </c>
      <c r="X23" s="11">
        <v>223</v>
      </c>
      <c r="Y23" s="10">
        <v>43382</v>
      </c>
      <c r="Z23" s="11">
        <v>9886556767</v>
      </c>
      <c r="AA23" s="12" t="s">
        <v>119</v>
      </c>
      <c r="AB23" s="11" t="s">
        <v>120</v>
      </c>
      <c r="AC23" s="12" t="s">
        <v>121</v>
      </c>
      <c r="AD23" s="11" t="s">
        <v>51</v>
      </c>
      <c r="AE23" s="12" t="s">
        <v>52</v>
      </c>
      <c r="AF23" s="14">
        <f t="shared" si="0"/>
        <v>0.2299735</v>
      </c>
      <c r="AG23" s="11" t="s">
        <v>122</v>
      </c>
    </row>
    <row r="24" spans="1:33" x14ac:dyDescent="0.2">
      <c r="A24" s="8">
        <v>6288</v>
      </c>
      <c r="B24" s="9" t="s">
        <v>116</v>
      </c>
      <c r="C24" s="10">
        <v>43385</v>
      </c>
      <c r="D24" s="11">
        <v>176</v>
      </c>
      <c r="E24" s="12" t="s">
        <v>34</v>
      </c>
      <c r="F24" s="12" t="s">
        <v>34</v>
      </c>
      <c r="G24" s="12" t="s">
        <v>34</v>
      </c>
      <c r="H24" s="12" t="s">
        <v>35</v>
      </c>
      <c r="I24" s="11" t="s">
        <v>123</v>
      </c>
      <c r="J24" s="12" t="s">
        <v>124</v>
      </c>
      <c r="K24" s="13" t="s">
        <v>38</v>
      </c>
      <c r="L24" s="11" t="str">
        <f>"000011"</f>
        <v>000011</v>
      </c>
      <c r="M24" s="10">
        <v>43117</v>
      </c>
      <c r="N24" s="11" t="str">
        <f>"000011"</f>
        <v>000011</v>
      </c>
      <c r="O24" s="10">
        <v>43160</v>
      </c>
      <c r="P24" s="11" t="str">
        <f>"000135"</f>
        <v>000135</v>
      </c>
      <c r="Q24" s="10">
        <v>43160</v>
      </c>
      <c r="R24" s="11">
        <v>18</v>
      </c>
      <c r="S24" s="11" t="str">
        <f>"006241"</f>
        <v>006241</v>
      </c>
      <c r="T24" s="10">
        <v>43380</v>
      </c>
      <c r="U24" s="14">
        <v>91.86</v>
      </c>
      <c r="V24" s="14">
        <v>2.5289999999999999</v>
      </c>
      <c r="W24" s="14">
        <v>89.331000000000003</v>
      </c>
      <c r="X24" s="11">
        <v>228</v>
      </c>
      <c r="Y24" s="10">
        <v>43385</v>
      </c>
      <c r="Z24" s="11">
        <v>9482796999</v>
      </c>
      <c r="AA24" s="12" t="s">
        <v>125</v>
      </c>
      <c r="AB24" s="11" t="s">
        <v>126</v>
      </c>
      <c r="AC24" s="12" t="s">
        <v>127</v>
      </c>
      <c r="AD24" s="11" t="s">
        <v>42</v>
      </c>
      <c r="AE24" s="12" t="s">
        <v>43</v>
      </c>
      <c r="AF24" s="14">
        <f t="shared" si="0"/>
        <v>0.91859999999999997</v>
      </c>
      <c r="AG24" s="11" t="s">
        <v>44</v>
      </c>
    </row>
    <row r="25" spans="1:33" x14ac:dyDescent="0.2">
      <c r="A25" s="8">
        <v>6289</v>
      </c>
      <c r="B25" s="9" t="s">
        <v>116</v>
      </c>
      <c r="C25" s="10">
        <v>43385</v>
      </c>
      <c r="D25" s="11">
        <v>176</v>
      </c>
      <c r="E25" s="12" t="s">
        <v>34</v>
      </c>
      <c r="F25" s="12" t="s">
        <v>34</v>
      </c>
      <c r="G25" s="12" t="s">
        <v>34</v>
      </c>
      <c r="H25" s="12" t="s">
        <v>35</v>
      </c>
      <c r="I25" s="11" t="s">
        <v>123</v>
      </c>
      <c r="J25" s="12" t="s">
        <v>124</v>
      </c>
      <c r="K25" s="13" t="s">
        <v>38</v>
      </c>
      <c r="L25" s="11" t="str">
        <f>"000011"</f>
        <v>000011</v>
      </c>
      <c r="M25" s="10">
        <v>43117</v>
      </c>
      <c r="N25" s="11" t="str">
        <f>"000011"</f>
        <v>000011</v>
      </c>
      <c r="O25" s="10">
        <v>43160</v>
      </c>
      <c r="P25" s="11" t="str">
        <f>"000135"</f>
        <v>000135</v>
      </c>
      <c r="Q25" s="10">
        <v>43160</v>
      </c>
      <c r="R25" s="11">
        <v>18</v>
      </c>
      <c r="S25" s="11" t="str">
        <f>"006241"</f>
        <v>006241</v>
      </c>
      <c r="T25" s="10">
        <v>43380</v>
      </c>
      <c r="U25" s="14">
        <v>91.86</v>
      </c>
      <c r="V25" s="14">
        <v>2.5289999999999999</v>
      </c>
      <c r="W25" s="14">
        <v>89.331000000000003</v>
      </c>
      <c r="X25" s="11">
        <v>228</v>
      </c>
      <c r="Y25" s="10">
        <v>43385</v>
      </c>
      <c r="Z25" s="11">
        <v>9482796999</v>
      </c>
      <c r="AA25" s="12" t="s">
        <v>125</v>
      </c>
      <c r="AB25" s="11" t="s">
        <v>126</v>
      </c>
      <c r="AC25" s="12" t="s">
        <v>127</v>
      </c>
      <c r="AD25" s="11" t="s">
        <v>42</v>
      </c>
      <c r="AE25" s="12" t="s">
        <v>43</v>
      </c>
      <c r="AF25" s="14">
        <f t="shared" si="0"/>
        <v>0.91859999999999997</v>
      </c>
      <c r="AG25" s="11" t="s">
        <v>44</v>
      </c>
    </row>
    <row r="26" spans="1:33" x14ac:dyDescent="0.2">
      <c r="A26" s="8">
        <v>6290</v>
      </c>
      <c r="B26" s="9" t="s">
        <v>116</v>
      </c>
      <c r="C26" s="10">
        <v>43385</v>
      </c>
      <c r="D26" s="11">
        <v>176</v>
      </c>
      <c r="E26" s="12" t="s">
        <v>34</v>
      </c>
      <c r="F26" s="12" t="s">
        <v>34</v>
      </c>
      <c r="G26" s="12" t="s">
        <v>34</v>
      </c>
      <c r="H26" s="12" t="s">
        <v>35</v>
      </c>
      <c r="I26" s="11" t="s">
        <v>128</v>
      </c>
      <c r="J26" s="12" t="s">
        <v>129</v>
      </c>
      <c r="K26" s="13" t="s">
        <v>38</v>
      </c>
      <c r="L26" s="11" t="str">
        <f>"000066"</f>
        <v>000066</v>
      </c>
      <c r="M26" s="10">
        <v>42801</v>
      </c>
      <c r="N26" s="11" t="str">
        <f>"000011"</f>
        <v>000011</v>
      </c>
      <c r="O26" s="10">
        <v>42929</v>
      </c>
      <c r="P26" s="11" t="str">
        <f>"0000024"</f>
        <v>0000024</v>
      </c>
      <c r="Q26" s="10">
        <v>42852</v>
      </c>
      <c r="R26" s="11">
        <v>17</v>
      </c>
      <c r="S26" s="11" t="str">
        <f>"006096"</f>
        <v>006096</v>
      </c>
      <c r="T26" s="10">
        <v>43376</v>
      </c>
      <c r="U26" s="14">
        <v>7.5534400000000002</v>
      </c>
      <c r="V26" s="14">
        <v>0.90842000000000001</v>
      </c>
      <c r="W26" s="14">
        <v>6.6450199999999997</v>
      </c>
      <c r="X26" s="11">
        <v>230</v>
      </c>
      <c r="Y26" s="10">
        <v>43385</v>
      </c>
      <c r="Z26" s="11">
        <v>9845089899</v>
      </c>
      <c r="AA26" s="12" t="s">
        <v>130</v>
      </c>
      <c r="AB26" s="11" t="s">
        <v>60</v>
      </c>
      <c r="AC26" s="12" t="s">
        <v>61</v>
      </c>
      <c r="AD26" s="11" t="s">
        <v>51</v>
      </c>
      <c r="AE26" s="12" t="s">
        <v>52</v>
      </c>
      <c r="AF26" s="14">
        <f t="shared" si="0"/>
        <v>7.5534400000000002E-2</v>
      </c>
      <c r="AG26" s="11" t="s">
        <v>44</v>
      </c>
    </row>
    <row r="27" spans="1:33" x14ac:dyDescent="0.2">
      <c r="A27" s="8">
        <v>6291</v>
      </c>
      <c r="B27" s="9" t="s">
        <v>116</v>
      </c>
      <c r="C27" s="10">
        <v>43385</v>
      </c>
      <c r="D27" s="11">
        <v>176</v>
      </c>
      <c r="E27" s="12" t="s">
        <v>34</v>
      </c>
      <c r="F27" s="12" t="s">
        <v>34</v>
      </c>
      <c r="G27" s="12" t="s">
        <v>34</v>
      </c>
      <c r="H27" s="12" t="s">
        <v>35</v>
      </c>
      <c r="I27" s="11" t="s">
        <v>131</v>
      </c>
      <c r="J27" s="12" t="s">
        <v>132</v>
      </c>
      <c r="K27" s="13" t="s">
        <v>133</v>
      </c>
      <c r="L27" s="11" t="str">
        <f>"000065"</f>
        <v>000065</v>
      </c>
      <c r="M27" s="10">
        <v>42862</v>
      </c>
      <c r="N27" s="11" t="str">
        <f>"000010"</f>
        <v>000010</v>
      </c>
      <c r="O27" s="10">
        <v>42929</v>
      </c>
      <c r="P27" s="11" t="str">
        <f>"0000025"</f>
        <v>0000025</v>
      </c>
      <c r="Q27" s="10">
        <v>42852</v>
      </c>
      <c r="R27" s="11">
        <v>17</v>
      </c>
      <c r="S27" s="11" t="str">
        <f>"006097"</f>
        <v>006097</v>
      </c>
      <c r="T27" s="10">
        <v>43376</v>
      </c>
      <c r="U27" s="14">
        <v>4.6666999999999996</v>
      </c>
      <c r="V27" s="14">
        <v>0.55805000000000005</v>
      </c>
      <c r="W27" s="14">
        <v>4.1086499999999999</v>
      </c>
      <c r="X27" s="11">
        <v>230</v>
      </c>
      <c r="Y27" s="10">
        <v>43385</v>
      </c>
      <c r="Z27" s="11">
        <v>9845089899</v>
      </c>
      <c r="AA27" s="12" t="s">
        <v>134</v>
      </c>
      <c r="AB27" s="11" t="s">
        <v>60</v>
      </c>
      <c r="AC27" s="12" t="s">
        <v>61</v>
      </c>
      <c r="AD27" s="11" t="s">
        <v>51</v>
      </c>
      <c r="AE27" s="12" t="s">
        <v>52</v>
      </c>
      <c r="AF27" s="14">
        <f t="shared" si="0"/>
        <v>4.6666999999999993E-2</v>
      </c>
      <c r="AG27" s="11" t="s">
        <v>44</v>
      </c>
    </row>
    <row r="28" spans="1:33" x14ac:dyDescent="0.2">
      <c r="A28" s="8">
        <v>6292</v>
      </c>
      <c r="B28" s="9" t="s">
        <v>116</v>
      </c>
      <c r="C28" s="10">
        <v>43385</v>
      </c>
      <c r="D28" s="11">
        <v>176</v>
      </c>
      <c r="E28" s="12" t="s">
        <v>34</v>
      </c>
      <c r="F28" s="12" t="s">
        <v>34</v>
      </c>
      <c r="G28" s="12" t="s">
        <v>34</v>
      </c>
      <c r="H28" s="12" t="s">
        <v>35</v>
      </c>
      <c r="I28" s="11" t="s">
        <v>135</v>
      </c>
      <c r="J28" s="12" t="s">
        <v>136</v>
      </c>
      <c r="K28" s="13" t="s">
        <v>137</v>
      </c>
      <c r="L28" s="11" t="str">
        <f>"000081"</f>
        <v>000081</v>
      </c>
      <c r="M28" s="10">
        <v>42621</v>
      </c>
      <c r="N28" s="11" t="str">
        <f>"186"</f>
        <v>186</v>
      </c>
      <c r="O28" s="10">
        <v>16</v>
      </c>
      <c r="P28" s="11" t="str">
        <f>"534"</f>
        <v>534</v>
      </c>
      <c r="Q28" s="10">
        <v>16</v>
      </c>
      <c r="R28" s="11">
        <v>17</v>
      </c>
      <c r="S28" s="11" t="str">
        <f>"006088"</f>
        <v>006088</v>
      </c>
      <c r="T28" s="10">
        <v>43374</v>
      </c>
      <c r="U28" s="14">
        <v>6.2971500000000002</v>
      </c>
      <c r="V28" s="14">
        <v>0.92439000000000004</v>
      </c>
      <c r="W28" s="14">
        <v>5.3727600000000004</v>
      </c>
      <c r="X28" s="11">
        <v>231</v>
      </c>
      <c r="Y28" s="10">
        <v>43385</v>
      </c>
      <c r="Z28" s="11">
        <v>9448021479</v>
      </c>
      <c r="AA28" s="12" t="s">
        <v>138</v>
      </c>
      <c r="AB28" s="11" t="s">
        <v>100</v>
      </c>
      <c r="AC28" s="12" t="s">
        <v>101</v>
      </c>
      <c r="AD28" s="11" t="s">
        <v>139</v>
      </c>
      <c r="AE28" s="12" t="s">
        <v>140</v>
      </c>
      <c r="AF28" s="14">
        <f t="shared" si="0"/>
        <v>6.29715E-2</v>
      </c>
      <c r="AG28" s="11" t="s">
        <v>44</v>
      </c>
    </row>
    <row r="29" spans="1:33" x14ac:dyDescent="0.2">
      <c r="A29" s="8">
        <v>6293</v>
      </c>
      <c r="B29" s="9" t="s">
        <v>116</v>
      </c>
      <c r="C29" s="10">
        <v>43385</v>
      </c>
      <c r="D29" s="11">
        <v>176</v>
      </c>
      <c r="E29" s="12" t="s">
        <v>34</v>
      </c>
      <c r="F29" s="12" t="s">
        <v>34</v>
      </c>
      <c r="G29" s="12" t="s">
        <v>34</v>
      </c>
      <c r="H29" s="12" t="s">
        <v>35</v>
      </c>
      <c r="I29" s="11" t="s">
        <v>141</v>
      </c>
      <c r="J29" s="12" t="s">
        <v>142</v>
      </c>
      <c r="K29" s="13" t="s">
        <v>38</v>
      </c>
      <c r="L29" s="11" t="str">
        <f>"000020"</f>
        <v>000020</v>
      </c>
      <c r="M29" s="10">
        <v>42637</v>
      </c>
      <c r="N29" s="11" t="str">
        <f>"000060"</f>
        <v>000060</v>
      </c>
      <c r="O29" s="10">
        <v>42824</v>
      </c>
      <c r="P29" s="11" t="str">
        <f>"000060"</f>
        <v>000060</v>
      </c>
      <c r="Q29" s="10">
        <v>42824</v>
      </c>
      <c r="R29" s="11">
        <v>17</v>
      </c>
      <c r="S29" s="11" t="str">
        <f>"000594"</f>
        <v>000594</v>
      </c>
      <c r="T29" s="10">
        <v>42847</v>
      </c>
      <c r="U29" s="14">
        <v>50.070680000000003</v>
      </c>
      <c r="V29" s="14">
        <v>1.30149</v>
      </c>
      <c r="W29" s="14">
        <v>48.769190000000002</v>
      </c>
      <c r="X29" s="11">
        <v>232</v>
      </c>
      <c r="Y29" s="10">
        <v>43385</v>
      </c>
      <c r="Z29" s="11">
        <v>9845057449</v>
      </c>
      <c r="AA29" s="12" t="s">
        <v>143</v>
      </c>
      <c r="AB29" s="11" t="s">
        <v>144</v>
      </c>
      <c r="AC29" s="12" t="s">
        <v>145</v>
      </c>
      <c r="AD29" s="11" t="s">
        <v>51</v>
      </c>
      <c r="AE29" s="12" t="s">
        <v>52</v>
      </c>
      <c r="AF29" s="14">
        <f t="shared" si="0"/>
        <v>0.50070680000000001</v>
      </c>
      <c r="AG29" s="11" t="s">
        <v>44</v>
      </c>
    </row>
    <row r="30" spans="1:33" x14ac:dyDescent="0.2">
      <c r="A30" s="8">
        <v>6786</v>
      </c>
      <c r="B30" s="9" t="s">
        <v>116</v>
      </c>
      <c r="C30" s="10">
        <v>43390</v>
      </c>
      <c r="D30" s="11">
        <v>176</v>
      </c>
      <c r="E30" s="12" t="s">
        <v>34</v>
      </c>
      <c r="F30" s="12" t="s">
        <v>34</v>
      </c>
      <c r="G30" s="12" t="s">
        <v>34</v>
      </c>
      <c r="H30" s="12" t="s">
        <v>35</v>
      </c>
      <c r="I30" s="11" t="s">
        <v>146</v>
      </c>
      <c r="J30" s="12" t="s">
        <v>147</v>
      </c>
      <c r="K30" s="13" t="s">
        <v>38</v>
      </c>
      <c r="L30" s="11" t="str">
        <f>"000060"</f>
        <v>000060</v>
      </c>
      <c r="M30" s="10">
        <v>43311</v>
      </c>
      <c r="N30" s="11" t="str">
        <f>"000108"</f>
        <v>000108</v>
      </c>
      <c r="O30" s="10">
        <v>43370</v>
      </c>
      <c r="P30" s="11" t="str">
        <f>"000107"</f>
        <v>000107</v>
      </c>
      <c r="Q30" s="10">
        <v>43370</v>
      </c>
      <c r="R30" s="11">
        <v>18</v>
      </c>
      <c r="S30" s="11" t="str">
        <f>"006838"</f>
        <v>006838</v>
      </c>
      <c r="T30" s="10">
        <v>43389</v>
      </c>
      <c r="U30" s="14">
        <v>24.989560000000001</v>
      </c>
      <c r="V30" s="14">
        <v>2.6488999999999998</v>
      </c>
      <c r="W30" s="14">
        <v>22.34066</v>
      </c>
      <c r="X30" s="11">
        <v>245</v>
      </c>
      <c r="Y30" s="10">
        <v>43390</v>
      </c>
      <c r="Z30" s="11">
        <v>0</v>
      </c>
      <c r="AA30" s="12" t="s">
        <v>148</v>
      </c>
      <c r="AB30" s="11" t="s">
        <v>149</v>
      </c>
      <c r="AC30" s="12" t="s">
        <v>150</v>
      </c>
      <c r="AD30" s="11" t="s">
        <v>85</v>
      </c>
      <c r="AE30" s="12" t="s">
        <v>86</v>
      </c>
      <c r="AF30" s="14">
        <f t="shared" si="0"/>
        <v>0.2498956</v>
      </c>
      <c r="AG30" s="11" t="s">
        <v>122</v>
      </c>
    </row>
    <row r="31" spans="1:33" x14ac:dyDescent="0.2">
      <c r="A31" s="8">
        <v>7117</v>
      </c>
      <c r="B31" s="9" t="s">
        <v>116</v>
      </c>
      <c r="C31" s="10">
        <v>43404</v>
      </c>
      <c r="D31" s="11">
        <v>176</v>
      </c>
      <c r="E31" s="12" t="s">
        <v>34</v>
      </c>
      <c r="F31" s="12" t="s">
        <v>34</v>
      </c>
      <c r="G31" s="12" t="s">
        <v>34</v>
      </c>
      <c r="H31" s="12" t="s">
        <v>35</v>
      </c>
      <c r="I31" s="11" t="s">
        <v>151</v>
      </c>
      <c r="J31" s="12" t="s">
        <v>152</v>
      </c>
      <c r="K31" s="13" t="s">
        <v>38</v>
      </c>
      <c r="L31" s="11" t="str">
        <f>"000084"</f>
        <v>000084</v>
      </c>
      <c r="M31" s="10">
        <v>43372</v>
      </c>
      <c r="N31" s="11" t="str">
        <f>"000117"</f>
        <v>000117</v>
      </c>
      <c r="O31" s="10">
        <v>43372</v>
      </c>
      <c r="P31" s="11" t="str">
        <f>"000119"</f>
        <v>000119</v>
      </c>
      <c r="Q31" s="10">
        <v>43372</v>
      </c>
      <c r="R31" s="11">
        <v>18</v>
      </c>
      <c r="S31" s="11" t="str">
        <f>"007176"</f>
        <v>007176</v>
      </c>
      <c r="T31" s="10">
        <v>43403</v>
      </c>
      <c r="U31" s="14">
        <v>9.9925599999999992</v>
      </c>
      <c r="V31" s="14">
        <v>1.05921</v>
      </c>
      <c r="W31" s="14">
        <v>8.9333500000000008</v>
      </c>
      <c r="X31" s="11">
        <v>256</v>
      </c>
      <c r="Y31" s="10">
        <v>43404</v>
      </c>
      <c r="Z31" s="11">
        <v>0</v>
      </c>
      <c r="AA31" s="12" t="s">
        <v>153</v>
      </c>
      <c r="AB31" s="11" t="s">
        <v>149</v>
      </c>
      <c r="AC31" s="12" t="s">
        <v>150</v>
      </c>
      <c r="AD31" s="11" t="s">
        <v>85</v>
      </c>
      <c r="AE31" s="12" t="s">
        <v>86</v>
      </c>
      <c r="AF31" s="14">
        <f t="shared" si="0"/>
        <v>9.9925599999999989E-2</v>
      </c>
      <c r="AG31" s="11" t="s">
        <v>122</v>
      </c>
    </row>
    <row r="32" spans="1:33" x14ac:dyDescent="0.2">
      <c r="A32" s="8">
        <v>7402</v>
      </c>
      <c r="B32" s="9" t="s">
        <v>154</v>
      </c>
      <c r="C32" s="10">
        <v>43427</v>
      </c>
      <c r="D32" s="11">
        <v>176</v>
      </c>
      <c r="E32" s="12" t="s">
        <v>34</v>
      </c>
      <c r="F32" s="12" t="s">
        <v>34</v>
      </c>
      <c r="G32" s="12" t="s">
        <v>34</v>
      </c>
      <c r="H32" s="12" t="s">
        <v>35</v>
      </c>
      <c r="I32" s="11" t="s">
        <v>155</v>
      </c>
      <c r="J32" s="12" t="s">
        <v>156</v>
      </c>
      <c r="K32" s="15" t="s">
        <v>157</v>
      </c>
      <c r="L32" s="11" t="str">
        <f>"000136"</f>
        <v>000136</v>
      </c>
      <c r="M32" s="10">
        <v>43132</v>
      </c>
      <c r="N32" s="11" t="str">
        <f>"000068"</f>
        <v>000068</v>
      </c>
      <c r="O32" s="10">
        <v>43389</v>
      </c>
      <c r="P32" s="11" t="str">
        <f>"000162"</f>
        <v>000162</v>
      </c>
      <c r="Q32" s="10">
        <v>43389</v>
      </c>
      <c r="R32" s="11">
        <v>17</v>
      </c>
      <c r="S32" s="11" t="str">
        <f>"007507"</f>
        <v>007507</v>
      </c>
      <c r="T32" s="10">
        <v>43426</v>
      </c>
      <c r="U32" s="14">
        <v>4.7416700000000001</v>
      </c>
      <c r="V32" s="14">
        <v>0.43130000000000002</v>
      </c>
      <c r="W32" s="14">
        <v>4.3103699999999998</v>
      </c>
      <c r="X32" s="11">
        <v>272</v>
      </c>
      <c r="Y32" s="10">
        <v>43427</v>
      </c>
      <c r="Z32" s="11">
        <v>9731015055</v>
      </c>
      <c r="AA32" s="12" t="s">
        <v>158</v>
      </c>
      <c r="AB32" s="11" t="s">
        <v>40</v>
      </c>
      <c r="AC32" s="12" t="s">
        <v>41</v>
      </c>
      <c r="AD32" s="11" t="s">
        <v>51</v>
      </c>
      <c r="AE32" s="12" t="s">
        <v>52</v>
      </c>
      <c r="AF32" s="14">
        <f t="shared" si="0"/>
        <v>4.7416699999999999E-2</v>
      </c>
      <c r="AG32" s="11" t="s">
        <v>66</v>
      </c>
    </row>
    <row r="33" spans="1:33" x14ac:dyDescent="0.2">
      <c r="A33" s="8">
        <v>7403</v>
      </c>
      <c r="B33" s="9" t="s">
        <v>154</v>
      </c>
      <c r="C33" s="10">
        <v>43427</v>
      </c>
      <c r="D33" s="11">
        <v>176</v>
      </c>
      <c r="E33" s="12" t="s">
        <v>34</v>
      </c>
      <c r="F33" s="12" t="s">
        <v>34</v>
      </c>
      <c r="G33" s="12" t="s">
        <v>34</v>
      </c>
      <c r="H33" s="12" t="s">
        <v>35</v>
      </c>
      <c r="I33" s="11" t="s">
        <v>159</v>
      </c>
      <c r="J33" s="12" t="s">
        <v>160</v>
      </c>
      <c r="K33" s="13" t="s">
        <v>157</v>
      </c>
      <c r="L33" s="11" t="str">
        <f>"000276"</f>
        <v>000276</v>
      </c>
      <c r="M33" s="10">
        <v>43389</v>
      </c>
      <c r="N33" s="11" t="str">
        <f>"000075"</f>
        <v>000075</v>
      </c>
      <c r="O33" s="10">
        <v>43407</v>
      </c>
      <c r="P33" s="11" t="str">
        <f>"000174"</f>
        <v>000174</v>
      </c>
      <c r="Q33" s="10">
        <v>43409</v>
      </c>
      <c r="R33" s="11">
        <v>18</v>
      </c>
      <c r="S33" s="11" t="str">
        <f>"007536"</f>
        <v>007536</v>
      </c>
      <c r="T33" s="10">
        <v>43426</v>
      </c>
      <c r="U33" s="14">
        <v>4.47</v>
      </c>
      <c r="V33" s="14">
        <v>0.18965000000000001</v>
      </c>
      <c r="W33" s="14">
        <v>4.2803500000000003</v>
      </c>
      <c r="X33" s="11">
        <v>272</v>
      </c>
      <c r="Y33" s="10">
        <v>43427</v>
      </c>
      <c r="Z33" s="11">
        <v>9916364289</v>
      </c>
      <c r="AA33" s="12" t="s">
        <v>161</v>
      </c>
      <c r="AB33" s="11" t="s">
        <v>162</v>
      </c>
      <c r="AC33" s="12" t="s">
        <v>163</v>
      </c>
      <c r="AD33" s="11" t="s">
        <v>51</v>
      </c>
      <c r="AE33" s="12" t="s">
        <v>52</v>
      </c>
      <c r="AF33" s="14">
        <f t="shared" si="0"/>
        <v>4.4699999999999997E-2</v>
      </c>
      <c r="AG33" s="11" t="s">
        <v>122</v>
      </c>
    </row>
    <row r="34" spans="1:33" x14ac:dyDescent="0.2">
      <c r="A34" s="8">
        <v>7680</v>
      </c>
      <c r="B34" s="9" t="s">
        <v>164</v>
      </c>
      <c r="C34" s="10">
        <v>43447</v>
      </c>
      <c r="D34" s="11">
        <v>176</v>
      </c>
      <c r="E34" s="12" t="s">
        <v>34</v>
      </c>
      <c r="F34" s="12" t="s">
        <v>34</v>
      </c>
      <c r="G34" s="12" t="s">
        <v>34</v>
      </c>
      <c r="H34" s="12" t="s">
        <v>35</v>
      </c>
      <c r="I34" s="11" t="s">
        <v>165</v>
      </c>
      <c r="J34" s="12" t="s">
        <v>166</v>
      </c>
      <c r="K34" s="13" t="s">
        <v>47</v>
      </c>
      <c r="L34" s="11" t="str">
        <f>"000260"</f>
        <v>000260</v>
      </c>
      <c r="M34" s="10">
        <v>43372</v>
      </c>
      <c r="N34" s="11" t="str">
        <f>"000066"</f>
        <v>000066</v>
      </c>
      <c r="O34" s="10">
        <v>43372</v>
      </c>
      <c r="P34" s="11" t="str">
        <f>"000153"</f>
        <v>000153</v>
      </c>
      <c r="Q34" s="10">
        <v>43373</v>
      </c>
      <c r="R34" s="11">
        <v>18</v>
      </c>
      <c r="S34" s="11" t="str">
        <f>"007945"</f>
        <v>007945</v>
      </c>
      <c r="T34" s="10">
        <v>43447</v>
      </c>
      <c r="U34" s="14">
        <v>24.661580000000001</v>
      </c>
      <c r="V34" s="14">
        <v>1.9484900000000001</v>
      </c>
      <c r="W34" s="14">
        <v>22.713090000000001</v>
      </c>
      <c r="X34" s="11">
        <v>289</v>
      </c>
      <c r="Y34" s="10">
        <v>43447</v>
      </c>
      <c r="Z34" s="11">
        <v>9916997189</v>
      </c>
      <c r="AA34" s="12" t="s">
        <v>99</v>
      </c>
      <c r="AB34" s="11" t="s">
        <v>167</v>
      </c>
      <c r="AC34" s="12" t="s">
        <v>168</v>
      </c>
      <c r="AD34" s="11" t="s">
        <v>51</v>
      </c>
      <c r="AE34" s="12" t="s">
        <v>52</v>
      </c>
      <c r="AF34" s="14">
        <f t="shared" si="0"/>
        <v>0.2466158</v>
      </c>
      <c r="AG34" s="11" t="s">
        <v>122</v>
      </c>
    </row>
    <row r="35" spans="1:33" x14ac:dyDescent="0.2">
      <c r="A35" s="8">
        <v>7809</v>
      </c>
      <c r="B35" s="9" t="s">
        <v>164</v>
      </c>
      <c r="C35" s="10">
        <v>43448</v>
      </c>
      <c r="D35" s="11">
        <v>176</v>
      </c>
      <c r="E35" s="12" t="s">
        <v>34</v>
      </c>
      <c r="F35" s="12" t="s">
        <v>34</v>
      </c>
      <c r="G35" s="12" t="s">
        <v>34</v>
      </c>
      <c r="H35" s="12" t="s">
        <v>35</v>
      </c>
      <c r="I35" s="11" t="s">
        <v>169</v>
      </c>
      <c r="J35" s="12" t="s">
        <v>170</v>
      </c>
      <c r="K35" s="13" t="s">
        <v>58</v>
      </c>
      <c r="L35" s="11" t="str">
        <f>"000026"</f>
        <v>000026</v>
      </c>
      <c r="M35" s="10">
        <v>42852</v>
      </c>
      <c r="N35" s="11" t="str">
        <f>"000015"</f>
        <v>000015</v>
      </c>
      <c r="O35" s="10">
        <v>42931</v>
      </c>
      <c r="P35" s="11" t="str">
        <f>"000023"</f>
        <v>000023</v>
      </c>
      <c r="Q35" s="10">
        <v>42931</v>
      </c>
      <c r="R35" s="11">
        <v>17</v>
      </c>
      <c r="S35" s="11" t="str">
        <f>"007812"</f>
        <v>007812</v>
      </c>
      <c r="T35" s="10">
        <v>43444</v>
      </c>
      <c r="U35" s="14">
        <v>1.95225</v>
      </c>
      <c r="V35" s="14">
        <v>0.21668999999999999</v>
      </c>
      <c r="W35" s="14">
        <v>1.73556</v>
      </c>
      <c r="X35" s="11">
        <v>292</v>
      </c>
      <c r="Y35" s="10">
        <v>43448</v>
      </c>
      <c r="Z35" s="11">
        <v>7204636362</v>
      </c>
      <c r="AA35" s="12" t="s">
        <v>171</v>
      </c>
      <c r="AB35" s="11" t="s">
        <v>60</v>
      </c>
      <c r="AC35" s="12" t="s">
        <v>61</v>
      </c>
      <c r="AD35" s="11" t="s">
        <v>51</v>
      </c>
      <c r="AE35" s="12" t="s">
        <v>52</v>
      </c>
      <c r="AF35" s="14">
        <f t="shared" si="0"/>
        <v>1.9522500000000002E-2</v>
      </c>
      <c r="AG35" s="11" t="s">
        <v>44</v>
      </c>
    </row>
    <row r="36" spans="1:33" x14ac:dyDescent="0.2">
      <c r="A36" s="8">
        <v>7890</v>
      </c>
      <c r="B36" s="9" t="s">
        <v>164</v>
      </c>
      <c r="C36" s="10">
        <v>43453</v>
      </c>
      <c r="D36" s="11">
        <v>176</v>
      </c>
      <c r="E36" s="12" t="s">
        <v>34</v>
      </c>
      <c r="F36" s="12" t="s">
        <v>34</v>
      </c>
      <c r="G36" s="12" t="s">
        <v>34</v>
      </c>
      <c r="H36" s="12" t="s">
        <v>35</v>
      </c>
      <c r="I36" s="11" t="s">
        <v>172</v>
      </c>
      <c r="J36" s="12" t="s">
        <v>173</v>
      </c>
      <c r="K36" s="13" t="s">
        <v>58</v>
      </c>
      <c r="L36" s="11" t="str">
        <f>"000218"</f>
        <v>000218</v>
      </c>
      <c r="M36" s="10">
        <v>43343</v>
      </c>
      <c r="N36" s="11" t="str">
        <f>"000077"</f>
        <v>000077</v>
      </c>
      <c r="O36" s="10">
        <v>43424</v>
      </c>
      <c r="P36" s="11" t="str">
        <f>"000179"</f>
        <v>000179</v>
      </c>
      <c r="Q36" s="10">
        <v>43426</v>
      </c>
      <c r="R36" s="11">
        <v>18</v>
      </c>
      <c r="S36" s="11" t="str">
        <f>"008059"</f>
        <v>008059</v>
      </c>
      <c r="T36" s="10">
        <v>43451</v>
      </c>
      <c r="U36" s="14">
        <v>4.4501799999999996</v>
      </c>
      <c r="V36" s="14">
        <v>0.21290999999999999</v>
      </c>
      <c r="W36" s="14">
        <v>4.2372699999999996</v>
      </c>
      <c r="X36" s="11">
        <v>296</v>
      </c>
      <c r="Y36" s="10">
        <v>43453</v>
      </c>
      <c r="Z36" s="11">
        <v>9448592779</v>
      </c>
      <c r="AA36" s="12" t="s">
        <v>174</v>
      </c>
      <c r="AB36" s="11" t="s">
        <v>175</v>
      </c>
      <c r="AC36" s="12" t="s">
        <v>176</v>
      </c>
      <c r="AD36" s="11" t="s">
        <v>51</v>
      </c>
      <c r="AE36" s="12" t="s">
        <v>52</v>
      </c>
      <c r="AF36" s="14">
        <f t="shared" si="0"/>
        <v>4.4501799999999994E-2</v>
      </c>
      <c r="AG36" s="11" t="s">
        <v>122</v>
      </c>
    </row>
    <row r="37" spans="1:33" x14ac:dyDescent="0.2">
      <c r="A37" s="8">
        <v>7891</v>
      </c>
      <c r="B37" s="9" t="s">
        <v>164</v>
      </c>
      <c r="C37" s="10">
        <v>43453</v>
      </c>
      <c r="D37" s="11">
        <v>176</v>
      </c>
      <c r="E37" s="12" t="s">
        <v>34</v>
      </c>
      <c r="F37" s="12" t="s">
        <v>34</v>
      </c>
      <c r="G37" s="12" t="s">
        <v>34</v>
      </c>
      <c r="H37" s="12" t="s">
        <v>35</v>
      </c>
      <c r="I37" s="11" t="s">
        <v>177</v>
      </c>
      <c r="J37" s="12" t="s">
        <v>178</v>
      </c>
      <c r="K37" s="13" t="s">
        <v>47</v>
      </c>
      <c r="L37" s="11" t="str">
        <f>"000298"</f>
        <v>000298</v>
      </c>
      <c r="M37" s="10">
        <v>43413</v>
      </c>
      <c r="N37" s="11" t="str">
        <f>"000076"</f>
        <v>000076</v>
      </c>
      <c r="O37" s="10">
        <v>43413</v>
      </c>
      <c r="P37" s="11" t="str">
        <f>"000176"</f>
        <v>000176</v>
      </c>
      <c r="Q37" s="10">
        <v>43417</v>
      </c>
      <c r="R37" s="11">
        <v>18</v>
      </c>
      <c r="S37" s="11" t="str">
        <f>"008061"</f>
        <v>008061</v>
      </c>
      <c r="T37" s="10">
        <v>43451</v>
      </c>
      <c r="U37" s="14">
        <v>12.295070000000001</v>
      </c>
      <c r="V37" s="14">
        <v>0.48773</v>
      </c>
      <c r="W37" s="14">
        <v>11.80734</v>
      </c>
      <c r="X37" s="11">
        <v>296</v>
      </c>
      <c r="Y37" s="10">
        <v>43453</v>
      </c>
      <c r="Z37" s="11">
        <v>9448090581</v>
      </c>
      <c r="AA37" s="12" t="s">
        <v>179</v>
      </c>
      <c r="AB37" s="11" t="s">
        <v>120</v>
      </c>
      <c r="AC37" s="12" t="s">
        <v>121</v>
      </c>
      <c r="AD37" s="11" t="s">
        <v>51</v>
      </c>
      <c r="AE37" s="12" t="s">
        <v>52</v>
      </c>
      <c r="AF37" s="14">
        <f t="shared" si="0"/>
        <v>0.12295070000000001</v>
      </c>
      <c r="AG37" s="11" t="s">
        <v>122</v>
      </c>
    </row>
    <row r="38" spans="1:33" x14ac:dyDescent="0.2">
      <c r="A38" s="8">
        <v>8452</v>
      </c>
      <c r="B38" s="9" t="s">
        <v>180</v>
      </c>
      <c r="C38" s="10">
        <v>43472</v>
      </c>
      <c r="D38" s="11">
        <v>176</v>
      </c>
      <c r="E38" s="12" t="s">
        <v>34</v>
      </c>
      <c r="F38" s="12" t="s">
        <v>34</v>
      </c>
      <c r="G38" s="12" t="s">
        <v>34</v>
      </c>
      <c r="H38" s="12" t="s">
        <v>35</v>
      </c>
      <c r="I38" s="11" t="s">
        <v>181</v>
      </c>
      <c r="J38" s="12" t="s">
        <v>182</v>
      </c>
      <c r="K38" s="13" t="s">
        <v>47</v>
      </c>
      <c r="L38" s="11" t="str">
        <f>"000259"</f>
        <v>000259</v>
      </c>
      <c r="M38" s="10">
        <v>43372</v>
      </c>
      <c r="N38" s="11" t="str">
        <f>"000065"</f>
        <v>000065</v>
      </c>
      <c r="O38" s="10">
        <v>43372</v>
      </c>
      <c r="P38" s="11" t="str">
        <f>"000152"</f>
        <v>000152</v>
      </c>
      <c r="Q38" s="10">
        <v>43373</v>
      </c>
      <c r="R38" s="11"/>
      <c r="S38" s="11" t="str">
        <f>"008585"</f>
        <v>008585</v>
      </c>
      <c r="T38" s="10">
        <v>43470</v>
      </c>
      <c r="U38" s="14">
        <v>96.877809999999997</v>
      </c>
      <c r="V38" s="14">
        <v>7.7614700000000001</v>
      </c>
      <c r="W38" s="14">
        <v>89.116339999999994</v>
      </c>
      <c r="X38" s="11">
        <v>316</v>
      </c>
      <c r="Y38" s="10">
        <v>43472</v>
      </c>
      <c r="Z38" s="11">
        <v>9916997189</v>
      </c>
      <c r="AA38" s="12" t="s">
        <v>99</v>
      </c>
      <c r="AB38" s="11" t="s">
        <v>40</v>
      </c>
      <c r="AC38" s="12" t="s">
        <v>41</v>
      </c>
      <c r="AD38" s="11" t="s">
        <v>51</v>
      </c>
      <c r="AE38" s="12" t="s">
        <v>52</v>
      </c>
      <c r="AF38" s="14">
        <f t="shared" si="0"/>
        <v>0.96877809999999998</v>
      </c>
      <c r="AG38" s="11" t="s">
        <v>122</v>
      </c>
    </row>
    <row r="39" spans="1:33" x14ac:dyDescent="0.2">
      <c r="A39" s="8">
        <v>8542</v>
      </c>
      <c r="B39" s="9" t="s">
        <v>180</v>
      </c>
      <c r="C39" s="10">
        <v>43475</v>
      </c>
      <c r="D39" s="11">
        <v>176</v>
      </c>
      <c r="E39" s="12" t="s">
        <v>34</v>
      </c>
      <c r="F39" s="12" t="s">
        <v>34</v>
      </c>
      <c r="G39" s="12" t="s">
        <v>34</v>
      </c>
      <c r="H39" s="12" t="s">
        <v>35</v>
      </c>
      <c r="I39" s="11" t="s">
        <v>183</v>
      </c>
      <c r="J39" s="12" t="s">
        <v>184</v>
      </c>
      <c r="K39" s="13" t="s">
        <v>137</v>
      </c>
      <c r="L39" s="11" t="str">
        <f>"000141"</f>
        <v>000141</v>
      </c>
      <c r="M39" s="10">
        <v>42794</v>
      </c>
      <c r="N39" s="11" t="str">
        <f>"025"</f>
        <v>025</v>
      </c>
      <c r="O39" s="10">
        <v>17</v>
      </c>
      <c r="P39" s="11" t="str">
        <f>"029"</f>
        <v>029</v>
      </c>
      <c r="Q39" s="10">
        <v>17</v>
      </c>
      <c r="R39" s="11"/>
      <c r="S39" s="11" t="str">
        <f>"008191"</f>
        <v>008191</v>
      </c>
      <c r="T39" s="10">
        <v>43455</v>
      </c>
      <c r="U39" s="14">
        <v>28.375350000000001</v>
      </c>
      <c r="V39" s="14">
        <v>4.1635299999999997</v>
      </c>
      <c r="W39" s="14">
        <v>24.211819999999999</v>
      </c>
      <c r="X39" s="11">
        <v>321</v>
      </c>
      <c r="Y39" s="10">
        <v>43475</v>
      </c>
      <c r="Z39" s="11">
        <v>9448021479</v>
      </c>
      <c r="AA39" s="12" t="s">
        <v>138</v>
      </c>
      <c r="AB39" s="11" t="s">
        <v>100</v>
      </c>
      <c r="AC39" s="12" t="s">
        <v>101</v>
      </c>
      <c r="AD39" s="11" t="s">
        <v>139</v>
      </c>
      <c r="AE39" s="12" t="s">
        <v>140</v>
      </c>
      <c r="AF39" s="14">
        <f t="shared" si="0"/>
        <v>0.28375349999999999</v>
      </c>
      <c r="AG39" s="11" t="s">
        <v>44</v>
      </c>
    </row>
    <row r="40" spans="1:33" x14ac:dyDescent="0.2">
      <c r="A40" s="8">
        <v>8560</v>
      </c>
      <c r="B40" s="9" t="s">
        <v>180</v>
      </c>
      <c r="C40" s="10">
        <v>43475</v>
      </c>
      <c r="D40" s="11">
        <v>176</v>
      </c>
      <c r="E40" s="12" t="s">
        <v>34</v>
      </c>
      <c r="F40" s="12" t="s">
        <v>34</v>
      </c>
      <c r="G40" s="12" t="s">
        <v>34</v>
      </c>
      <c r="H40" s="12" t="s">
        <v>35</v>
      </c>
      <c r="I40" s="11" t="s">
        <v>185</v>
      </c>
      <c r="J40" s="12" t="s">
        <v>186</v>
      </c>
      <c r="K40" s="13" t="s">
        <v>133</v>
      </c>
      <c r="L40" s="11" t="str">
        <f>"000175"</f>
        <v>000175</v>
      </c>
      <c r="M40" s="10">
        <v>42433</v>
      </c>
      <c r="N40" s="11" t="str">
        <f>"218"</f>
        <v>218</v>
      </c>
      <c r="O40" s="10">
        <v>16</v>
      </c>
      <c r="P40" s="11" t="str">
        <f>"000016"</f>
        <v>000016</v>
      </c>
      <c r="Q40" s="10">
        <v>42842</v>
      </c>
      <c r="R40" s="11"/>
      <c r="S40" s="11" t="str">
        <f>"008219"</f>
        <v>008219</v>
      </c>
      <c r="T40" s="10">
        <v>43455</v>
      </c>
      <c r="U40" s="14">
        <v>2</v>
      </c>
      <c r="V40" s="14">
        <v>0.2</v>
      </c>
      <c r="W40" s="14">
        <v>1.8</v>
      </c>
      <c r="X40" s="11">
        <v>321</v>
      </c>
      <c r="Y40" s="10">
        <v>43475</v>
      </c>
      <c r="Z40" s="11">
        <v>9972924526</v>
      </c>
      <c r="AA40" s="12" t="s">
        <v>187</v>
      </c>
      <c r="AB40" s="11" t="s">
        <v>126</v>
      </c>
      <c r="AC40" s="12" t="s">
        <v>127</v>
      </c>
      <c r="AD40" s="11" t="s">
        <v>139</v>
      </c>
      <c r="AE40" s="12" t="s">
        <v>140</v>
      </c>
      <c r="AF40" s="14">
        <f t="shared" si="0"/>
        <v>0.02</v>
      </c>
      <c r="AG40" s="11" t="s">
        <v>44</v>
      </c>
    </row>
    <row r="41" spans="1:33" x14ac:dyDescent="0.2">
      <c r="A41" s="8">
        <v>8609</v>
      </c>
      <c r="B41" s="9" t="s">
        <v>180</v>
      </c>
      <c r="C41" s="10">
        <v>43481</v>
      </c>
      <c r="D41" s="11">
        <v>176</v>
      </c>
      <c r="E41" s="12" t="s">
        <v>34</v>
      </c>
      <c r="F41" s="12" t="s">
        <v>34</v>
      </c>
      <c r="G41" s="12" t="s">
        <v>34</v>
      </c>
      <c r="H41" s="12" t="s">
        <v>35</v>
      </c>
      <c r="I41" s="11" t="s">
        <v>188</v>
      </c>
      <c r="J41" s="12" t="s">
        <v>189</v>
      </c>
      <c r="K41" s="13" t="s">
        <v>58</v>
      </c>
      <c r="L41" s="11" t="str">
        <f>"000282"</f>
        <v>000282</v>
      </c>
      <c r="M41" s="10">
        <v>43396</v>
      </c>
      <c r="N41" s="11" t="str">
        <f>"000085"</f>
        <v>000085</v>
      </c>
      <c r="O41" s="10">
        <v>43451</v>
      </c>
      <c r="P41" s="11" t="str">
        <f>"000188"</f>
        <v>000188</v>
      </c>
      <c r="Q41" s="10">
        <v>43451</v>
      </c>
      <c r="R41" s="11"/>
      <c r="S41" s="11" t="str">
        <f>"008721"</f>
        <v>008721</v>
      </c>
      <c r="T41" s="10">
        <v>43477</v>
      </c>
      <c r="U41" s="14">
        <v>14.851889999999999</v>
      </c>
      <c r="V41" s="14">
        <v>1.46967</v>
      </c>
      <c r="W41" s="14">
        <v>13.38222</v>
      </c>
      <c r="X41" s="11">
        <v>324</v>
      </c>
      <c r="Y41" s="10">
        <v>43481</v>
      </c>
      <c r="Z41" s="11">
        <v>9845205942</v>
      </c>
      <c r="AA41" s="12" t="s">
        <v>190</v>
      </c>
      <c r="AB41" s="11" t="s">
        <v>191</v>
      </c>
      <c r="AC41" s="12" t="s">
        <v>192</v>
      </c>
      <c r="AD41" s="11" t="s">
        <v>51</v>
      </c>
      <c r="AE41" s="12" t="s">
        <v>52</v>
      </c>
      <c r="AF41" s="14">
        <f t="shared" si="0"/>
        <v>0.14851889999999998</v>
      </c>
      <c r="AG41" s="11" t="s">
        <v>122</v>
      </c>
    </row>
    <row r="42" spans="1:33" x14ac:dyDescent="0.2">
      <c r="A42" s="8">
        <v>8617</v>
      </c>
      <c r="B42" s="9" t="s">
        <v>180</v>
      </c>
      <c r="C42" s="10">
        <v>43481</v>
      </c>
      <c r="D42" s="11">
        <v>176</v>
      </c>
      <c r="E42" s="12" t="s">
        <v>34</v>
      </c>
      <c r="F42" s="12" t="s">
        <v>34</v>
      </c>
      <c r="G42" s="12" t="s">
        <v>34</v>
      </c>
      <c r="H42" s="12" t="s">
        <v>35</v>
      </c>
      <c r="I42" s="11" t="s">
        <v>193</v>
      </c>
      <c r="J42" s="12" t="s">
        <v>194</v>
      </c>
      <c r="K42" s="13" t="s">
        <v>38</v>
      </c>
      <c r="L42" s="11" t="str">
        <f>"000281"</f>
        <v>000281</v>
      </c>
      <c r="M42" s="10">
        <v>43396</v>
      </c>
      <c r="N42" s="11" t="str">
        <f>"000086"</f>
        <v>000086</v>
      </c>
      <c r="O42" s="10">
        <v>43451</v>
      </c>
      <c r="P42" s="11" t="str">
        <f>"000187"</f>
        <v>000187</v>
      </c>
      <c r="Q42" s="10">
        <v>43451</v>
      </c>
      <c r="R42" s="11"/>
      <c r="S42" s="11" t="str">
        <f>"008729"</f>
        <v>008729</v>
      </c>
      <c r="T42" s="10">
        <v>43477</v>
      </c>
      <c r="U42" s="14">
        <v>25.001550000000002</v>
      </c>
      <c r="V42" s="14">
        <v>2.4215399999999998</v>
      </c>
      <c r="W42" s="14">
        <v>22.580010000000001</v>
      </c>
      <c r="X42" s="11">
        <v>324</v>
      </c>
      <c r="Y42" s="10">
        <v>43481</v>
      </c>
      <c r="Z42" s="11">
        <v>9902067334</v>
      </c>
      <c r="AA42" s="12" t="s">
        <v>195</v>
      </c>
      <c r="AB42" s="11" t="s">
        <v>120</v>
      </c>
      <c r="AC42" s="12" t="s">
        <v>121</v>
      </c>
      <c r="AD42" s="11" t="s">
        <v>51</v>
      </c>
      <c r="AE42" s="12" t="s">
        <v>52</v>
      </c>
      <c r="AF42" s="14">
        <f t="shared" si="0"/>
        <v>0.2500155</v>
      </c>
      <c r="AG42" s="11" t="s">
        <v>122</v>
      </c>
    </row>
    <row r="43" spans="1:33" x14ac:dyDescent="0.2">
      <c r="A43" s="8">
        <v>8721</v>
      </c>
      <c r="B43" s="9" t="s">
        <v>180</v>
      </c>
      <c r="C43" s="10">
        <v>43486</v>
      </c>
      <c r="D43" s="11">
        <v>176</v>
      </c>
      <c r="E43" s="12" t="s">
        <v>34</v>
      </c>
      <c r="F43" s="12" t="s">
        <v>34</v>
      </c>
      <c r="G43" s="12" t="s">
        <v>34</v>
      </c>
      <c r="H43" s="12" t="s">
        <v>35</v>
      </c>
      <c r="I43" s="11" t="s">
        <v>196</v>
      </c>
      <c r="J43" s="12" t="s">
        <v>197</v>
      </c>
      <c r="K43" s="13" t="s">
        <v>198</v>
      </c>
      <c r="L43" s="11" t="str">
        <f>"000324"</f>
        <v>000324</v>
      </c>
      <c r="M43" s="10">
        <v>43438</v>
      </c>
      <c r="N43" s="11" t="str">
        <f>"000081"</f>
        <v>000081</v>
      </c>
      <c r="O43" s="10">
        <v>43438</v>
      </c>
      <c r="P43" s="11" t="str">
        <f>"000183"</f>
        <v>000183</v>
      </c>
      <c r="Q43" s="10">
        <v>43448</v>
      </c>
      <c r="R43" s="11"/>
      <c r="S43" s="11" t="str">
        <f>"008927"</f>
        <v>008927</v>
      </c>
      <c r="T43" s="10">
        <v>43486</v>
      </c>
      <c r="U43" s="14">
        <v>12.22077</v>
      </c>
      <c r="V43" s="14">
        <v>1.0959000000000001</v>
      </c>
      <c r="W43" s="14">
        <v>11.12487</v>
      </c>
      <c r="X43" s="11">
        <v>330</v>
      </c>
      <c r="Y43" s="10">
        <v>43486</v>
      </c>
      <c r="Z43" s="11">
        <v>9845135453</v>
      </c>
      <c r="AA43" s="12" t="s">
        <v>199</v>
      </c>
      <c r="AB43" s="11" t="s">
        <v>40</v>
      </c>
      <c r="AC43" s="12" t="s">
        <v>41</v>
      </c>
      <c r="AD43" s="11" t="s">
        <v>51</v>
      </c>
      <c r="AE43" s="12" t="s">
        <v>52</v>
      </c>
      <c r="AF43" s="14">
        <f t="shared" si="0"/>
        <v>0.1222077</v>
      </c>
      <c r="AG43" s="11" t="s">
        <v>122</v>
      </c>
    </row>
    <row r="44" spans="1:33" x14ac:dyDescent="0.2">
      <c r="A44" s="8">
        <v>8807</v>
      </c>
      <c r="B44" s="9" t="s">
        <v>180</v>
      </c>
      <c r="C44" s="10">
        <v>43490</v>
      </c>
      <c r="D44" s="11">
        <v>176</v>
      </c>
      <c r="E44" s="12" t="s">
        <v>34</v>
      </c>
      <c r="F44" s="12" t="s">
        <v>34</v>
      </c>
      <c r="G44" s="12" t="s">
        <v>34</v>
      </c>
      <c r="H44" s="12" t="s">
        <v>35</v>
      </c>
      <c r="I44" s="11" t="s">
        <v>200</v>
      </c>
      <c r="J44" s="12" t="s">
        <v>201</v>
      </c>
      <c r="K44" s="13" t="s">
        <v>157</v>
      </c>
      <c r="L44" s="11" t="str">
        <f>"000239"</f>
        <v>000239</v>
      </c>
      <c r="M44" s="10">
        <v>43353</v>
      </c>
      <c r="N44" s="11" t="str">
        <f>"000062"</f>
        <v>000062</v>
      </c>
      <c r="O44" s="10">
        <v>43372</v>
      </c>
      <c r="P44" s="11" t="str">
        <f>"000193"</f>
        <v>000193</v>
      </c>
      <c r="Q44" s="10">
        <v>43458</v>
      </c>
      <c r="R44" s="11"/>
      <c r="S44" s="11" t="str">
        <f>"008956"</f>
        <v>008956</v>
      </c>
      <c r="T44" s="10">
        <v>43489</v>
      </c>
      <c r="U44" s="14">
        <v>1.3111600000000001</v>
      </c>
      <c r="V44" s="14">
        <v>0.12149</v>
      </c>
      <c r="W44" s="14">
        <v>1.18967</v>
      </c>
      <c r="X44" s="11">
        <v>333</v>
      </c>
      <c r="Y44" s="10">
        <v>43490</v>
      </c>
      <c r="Z44" s="11">
        <v>7204636362</v>
      </c>
      <c r="AA44" s="12" t="s">
        <v>202</v>
      </c>
      <c r="AB44" s="11" t="s">
        <v>40</v>
      </c>
      <c r="AC44" s="12" t="s">
        <v>41</v>
      </c>
      <c r="AD44" s="11" t="s">
        <v>51</v>
      </c>
      <c r="AE44" s="12" t="s">
        <v>52</v>
      </c>
      <c r="AF44" s="14">
        <f t="shared" si="0"/>
        <v>1.3111600000000001E-2</v>
      </c>
      <c r="AG44" s="11" t="s">
        <v>122</v>
      </c>
    </row>
    <row r="45" spans="1:33" x14ac:dyDescent="0.2">
      <c r="A45" s="8">
        <v>8967</v>
      </c>
      <c r="B45" s="9" t="s">
        <v>203</v>
      </c>
      <c r="C45" s="10">
        <v>43501</v>
      </c>
      <c r="D45" s="11">
        <v>176</v>
      </c>
      <c r="E45" s="12" t="s">
        <v>34</v>
      </c>
      <c r="F45" s="12" t="s">
        <v>34</v>
      </c>
      <c r="G45" s="12" t="s">
        <v>34</v>
      </c>
      <c r="H45" s="12" t="s">
        <v>35</v>
      </c>
      <c r="I45" s="11" t="s">
        <v>204</v>
      </c>
      <c r="J45" s="12" t="s">
        <v>205</v>
      </c>
      <c r="K45" s="13" t="s">
        <v>38</v>
      </c>
      <c r="L45" s="11" t="str">
        <f>"000268"</f>
        <v>000268</v>
      </c>
      <c r="M45" s="10">
        <v>43385</v>
      </c>
      <c r="N45" s="11" t="str">
        <f>"000089"</f>
        <v>000089</v>
      </c>
      <c r="O45" s="10">
        <v>43463</v>
      </c>
      <c r="P45" s="11" t="str">
        <f>"000197"</f>
        <v>000197</v>
      </c>
      <c r="Q45" s="10">
        <v>43466</v>
      </c>
      <c r="R45" s="11"/>
      <c r="S45" s="11" t="str">
        <f>"009051"</f>
        <v>009051</v>
      </c>
      <c r="T45" s="10">
        <v>43501</v>
      </c>
      <c r="U45" s="14">
        <v>34.671370000000003</v>
      </c>
      <c r="V45" s="14">
        <v>3.1507800000000001</v>
      </c>
      <c r="W45" s="14">
        <v>31.520589999999999</v>
      </c>
      <c r="X45" s="11">
        <v>339</v>
      </c>
      <c r="Y45" s="10">
        <v>43501</v>
      </c>
      <c r="Z45" s="11">
        <v>9902067334</v>
      </c>
      <c r="AA45" s="12" t="s">
        <v>195</v>
      </c>
      <c r="AB45" s="11" t="s">
        <v>120</v>
      </c>
      <c r="AC45" s="12" t="s">
        <v>121</v>
      </c>
      <c r="AD45" s="11" t="s">
        <v>51</v>
      </c>
      <c r="AE45" s="12" t="s">
        <v>52</v>
      </c>
      <c r="AF45" s="14">
        <f t="shared" si="0"/>
        <v>0.34671370000000001</v>
      </c>
      <c r="AG45" s="11" t="s">
        <v>122</v>
      </c>
    </row>
    <row r="46" spans="1:33" x14ac:dyDescent="0.2">
      <c r="A46" s="8">
        <v>9105</v>
      </c>
      <c r="B46" s="9" t="s">
        <v>203</v>
      </c>
      <c r="C46" s="10">
        <v>43508</v>
      </c>
      <c r="D46" s="11">
        <v>176</v>
      </c>
      <c r="E46" s="12" t="s">
        <v>34</v>
      </c>
      <c r="F46" s="12" t="s">
        <v>34</v>
      </c>
      <c r="G46" s="12" t="s">
        <v>34</v>
      </c>
      <c r="H46" s="12" t="s">
        <v>35</v>
      </c>
      <c r="I46" s="11" t="s">
        <v>206</v>
      </c>
      <c r="J46" s="12" t="s">
        <v>207</v>
      </c>
      <c r="K46" s="13" t="s">
        <v>133</v>
      </c>
      <c r="L46" s="11" t="str">
        <f>"000043"</f>
        <v>000043</v>
      </c>
      <c r="M46" s="10">
        <v>41666</v>
      </c>
      <c r="N46" s="11" t="str">
        <f>"106"</f>
        <v>106</v>
      </c>
      <c r="O46" s="10">
        <v>15</v>
      </c>
      <c r="P46" s="11" t="str">
        <f>"378"</f>
        <v>378</v>
      </c>
      <c r="Q46" s="10">
        <v>14</v>
      </c>
      <c r="R46" s="11"/>
      <c r="S46" s="11" t="str">
        <f>"009084"</f>
        <v>009084</v>
      </c>
      <c r="T46" s="10">
        <v>43502</v>
      </c>
      <c r="U46" s="14">
        <v>0.45162000000000002</v>
      </c>
      <c r="V46" s="14">
        <v>6.5930000000000002E-2</v>
      </c>
      <c r="W46" s="14">
        <v>0.38568999999999998</v>
      </c>
      <c r="X46" s="11">
        <v>348</v>
      </c>
      <c r="Y46" s="10">
        <v>43508</v>
      </c>
      <c r="Z46" s="11">
        <v>8749058286</v>
      </c>
      <c r="AA46" s="12" t="s">
        <v>208</v>
      </c>
      <c r="AB46" s="11" t="s">
        <v>209</v>
      </c>
      <c r="AC46" s="12" t="s">
        <v>210</v>
      </c>
      <c r="AD46" s="11" t="s">
        <v>85</v>
      </c>
      <c r="AE46" s="12" t="s">
        <v>86</v>
      </c>
      <c r="AF46" s="14">
        <f t="shared" si="0"/>
        <v>4.5162000000000006E-3</v>
      </c>
      <c r="AG46" s="11" t="s">
        <v>44</v>
      </c>
    </row>
    <row r="47" spans="1:33" x14ac:dyDescent="0.2">
      <c r="A47" s="8">
        <v>9492</v>
      </c>
      <c r="B47" s="9" t="s">
        <v>211</v>
      </c>
      <c r="C47" s="10">
        <v>43530</v>
      </c>
      <c r="D47" s="11">
        <v>176</v>
      </c>
      <c r="E47" s="12" t="s">
        <v>34</v>
      </c>
      <c r="F47" s="12" t="s">
        <v>34</v>
      </c>
      <c r="G47" s="12" t="s">
        <v>34</v>
      </c>
      <c r="H47" s="12" t="s">
        <v>35</v>
      </c>
      <c r="I47" s="11" t="s">
        <v>212</v>
      </c>
      <c r="J47" s="12" t="s">
        <v>213</v>
      </c>
      <c r="K47" s="15" t="s">
        <v>157</v>
      </c>
      <c r="L47" s="11" t="str">
        <f>"000295"</f>
        <v>000295</v>
      </c>
      <c r="M47" s="10">
        <v>43413</v>
      </c>
      <c r="N47" s="11" t="str">
        <f>"000095"</f>
        <v>000095</v>
      </c>
      <c r="O47" s="10">
        <v>43484</v>
      </c>
      <c r="P47" s="11" t="str">
        <f>"000208"</f>
        <v>000208</v>
      </c>
      <c r="Q47" s="10">
        <v>43486</v>
      </c>
      <c r="R47" s="11"/>
      <c r="S47" s="11" t="str">
        <f>"009526"</f>
        <v>009526</v>
      </c>
      <c r="T47" s="10">
        <v>43526</v>
      </c>
      <c r="U47" s="14">
        <v>7.5346799999999998</v>
      </c>
      <c r="V47" s="14">
        <v>0.73948000000000003</v>
      </c>
      <c r="W47" s="14">
        <v>6.7952000000000004</v>
      </c>
      <c r="X47" s="11">
        <v>368</v>
      </c>
      <c r="Y47" s="10">
        <v>43530</v>
      </c>
      <c r="Z47" s="11">
        <v>9902000282</v>
      </c>
      <c r="AA47" s="12" t="s">
        <v>214</v>
      </c>
      <c r="AB47" s="11" t="s">
        <v>215</v>
      </c>
      <c r="AC47" s="12" t="s">
        <v>216</v>
      </c>
      <c r="AD47" s="11" t="s">
        <v>51</v>
      </c>
      <c r="AE47" s="12" t="s">
        <v>52</v>
      </c>
      <c r="AF47" s="14">
        <f t="shared" si="0"/>
        <v>7.5346799999999992E-2</v>
      </c>
      <c r="AG47" s="11" t="s">
        <v>122</v>
      </c>
    </row>
    <row r="48" spans="1:33" x14ac:dyDescent="0.2">
      <c r="A48" s="8">
        <v>9493</v>
      </c>
      <c r="B48" s="9" t="s">
        <v>211</v>
      </c>
      <c r="C48" s="10">
        <v>43530</v>
      </c>
      <c r="D48" s="11">
        <v>176</v>
      </c>
      <c r="E48" s="12" t="s">
        <v>34</v>
      </c>
      <c r="F48" s="12" t="s">
        <v>34</v>
      </c>
      <c r="G48" s="12" t="s">
        <v>34</v>
      </c>
      <c r="H48" s="12" t="s">
        <v>35</v>
      </c>
      <c r="I48" s="11" t="s">
        <v>217</v>
      </c>
      <c r="J48" s="12" t="s">
        <v>218</v>
      </c>
      <c r="K48" s="15" t="s">
        <v>157</v>
      </c>
      <c r="L48" s="11" t="str">
        <f>"000296"</f>
        <v>000296</v>
      </c>
      <c r="M48" s="10">
        <v>43413</v>
      </c>
      <c r="N48" s="11" t="str">
        <f>"000096"</f>
        <v>000096</v>
      </c>
      <c r="O48" s="10">
        <v>43484</v>
      </c>
      <c r="P48" s="11" t="str">
        <f>"000209"</f>
        <v>000209</v>
      </c>
      <c r="Q48" s="10">
        <v>43486</v>
      </c>
      <c r="R48" s="11"/>
      <c r="S48" s="11" t="str">
        <f>"009527"</f>
        <v>009527</v>
      </c>
      <c r="T48" s="10">
        <v>43526</v>
      </c>
      <c r="U48" s="14">
        <v>7.5893800000000002</v>
      </c>
      <c r="V48" s="14">
        <v>0.74434</v>
      </c>
      <c r="W48" s="14">
        <v>6.84504</v>
      </c>
      <c r="X48" s="11">
        <v>368</v>
      </c>
      <c r="Y48" s="10">
        <v>43530</v>
      </c>
      <c r="Z48" s="11">
        <v>9902000282</v>
      </c>
      <c r="AA48" s="12" t="s">
        <v>219</v>
      </c>
      <c r="AB48" s="11" t="s">
        <v>215</v>
      </c>
      <c r="AC48" s="12" t="s">
        <v>216</v>
      </c>
      <c r="AD48" s="11" t="s">
        <v>51</v>
      </c>
      <c r="AE48" s="12" t="s">
        <v>52</v>
      </c>
      <c r="AF48" s="14">
        <f t="shared" si="0"/>
        <v>7.5893799999999997E-2</v>
      </c>
      <c r="AG48" s="11" t="s">
        <v>122</v>
      </c>
    </row>
    <row r="49" spans="1:33" x14ac:dyDescent="0.2">
      <c r="A49" s="8">
        <v>9494</v>
      </c>
      <c r="B49" s="9" t="s">
        <v>211</v>
      </c>
      <c r="C49" s="10">
        <v>43530</v>
      </c>
      <c r="D49" s="11">
        <v>176</v>
      </c>
      <c r="E49" s="12" t="s">
        <v>34</v>
      </c>
      <c r="F49" s="12" t="s">
        <v>34</v>
      </c>
      <c r="G49" s="12" t="s">
        <v>34</v>
      </c>
      <c r="H49" s="12" t="s">
        <v>35</v>
      </c>
      <c r="I49" s="11" t="s">
        <v>220</v>
      </c>
      <c r="J49" s="12" t="s">
        <v>221</v>
      </c>
      <c r="K49" s="15" t="s">
        <v>157</v>
      </c>
      <c r="L49" s="11" t="str">
        <f>"000294"</f>
        <v>000294</v>
      </c>
      <c r="M49" s="10">
        <v>43413</v>
      </c>
      <c r="N49" s="11" t="str">
        <f>"000097"</f>
        <v>000097</v>
      </c>
      <c r="O49" s="10">
        <v>43484</v>
      </c>
      <c r="P49" s="11" t="str">
        <f>"000210"</f>
        <v>000210</v>
      </c>
      <c r="Q49" s="10">
        <v>43486</v>
      </c>
      <c r="R49" s="11"/>
      <c r="S49" s="11" t="str">
        <f>"009528"</f>
        <v>009528</v>
      </c>
      <c r="T49" s="10">
        <v>43526</v>
      </c>
      <c r="U49" s="14">
        <v>7.51126</v>
      </c>
      <c r="V49" s="14">
        <v>0.73741000000000001</v>
      </c>
      <c r="W49" s="14">
        <v>6.7738500000000004</v>
      </c>
      <c r="X49" s="11">
        <v>368</v>
      </c>
      <c r="Y49" s="10">
        <v>43530</v>
      </c>
      <c r="Z49" s="11">
        <v>9902000282</v>
      </c>
      <c r="AA49" s="12" t="s">
        <v>222</v>
      </c>
      <c r="AB49" s="11" t="s">
        <v>215</v>
      </c>
      <c r="AC49" s="12" t="s">
        <v>216</v>
      </c>
      <c r="AD49" s="11" t="s">
        <v>51</v>
      </c>
      <c r="AE49" s="12" t="s">
        <v>52</v>
      </c>
      <c r="AF49" s="14">
        <f t="shared" si="0"/>
        <v>7.5112600000000002E-2</v>
      </c>
      <c r="AG49" s="11" t="s">
        <v>122</v>
      </c>
    </row>
    <row r="50" spans="1:33" x14ac:dyDescent="0.2">
      <c r="A50" s="8">
        <v>9499</v>
      </c>
      <c r="B50" s="9" t="s">
        <v>211</v>
      </c>
      <c r="C50" s="10">
        <v>43531</v>
      </c>
      <c r="D50" s="11">
        <v>176</v>
      </c>
      <c r="E50" s="12" t="s">
        <v>34</v>
      </c>
      <c r="F50" s="12" t="s">
        <v>34</v>
      </c>
      <c r="G50" s="12" t="s">
        <v>34</v>
      </c>
      <c r="H50" s="12" t="s">
        <v>35</v>
      </c>
      <c r="I50" s="11" t="s">
        <v>223</v>
      </c>
      <c r="J50" s="12" t="s">
        <v>224</v>
      </c>
      <c r="K50" s="13" t="s">
        <v>38</v>
      </c>
      <c r="L50" s="11" t="str">
        <f>"000338"</f>
        <v>000338</v>
      </c>
      <c r="M50" s="10">
        <v>43441</v>
      </c>
      <c r="N50" s="11" t="str">
        <f>"000098"</f>
        <v>000098</v>
      </c>
      <c r="O50" s="10">
        <v>43489</v>
      </c>
      <c r="P50" s="11" t="str">
        <f>"000212"</f>
        <v>000212</v>
      </c>
      <c r="Q50" s="10">
        <v>43489</v>
      </c>
      <c r="R50" s="11"/>
      <c r="S50" s="11" t="str">
        <f>"009611"</f>
        <v>009611</v>
      </c>
      <c r="T50" s="10">
        <v>43529</v>
      </c>
      <c r="U50" s="14">
        <v>33.86477</v>
      </c>
      <c r="V50" s="14">
        <v>1.6658599999999999</v>
      </c>
      <c r="W50" s="14">
        <v>32.198909999999998</v>
      </c>
      <c r="X50" s="11">
        <v>369</v>
      </c>
      <c r="Y50" s="10">
        <v>43531</v>
      </c>
      <c r="Z50" s="11">
        <v>9902067334</v>
      </c>
      <c r="AA50" s="12" t="s">
        <v>225</v>
      </c>
      <c r="AB50" s="11" t="s">
        <v>120</v>
      </c>
      <c r="AC50" s="12" t="s">
        <v>121</v>
      </c>
      <c r="AD50" s="11" t="s">
        <v>51</v>
      </c>
      <c r="AE50" s="12" t="s">
        <v>52</v>
      </c>
      <c r="AF50" s="14">
        <f t="shared" si="0"/>
        <v>0.3386477</v>
      </c>
      <c r="AG50" s="11" t="s">
        <v>122</v>
      </c>
    </row>
    <row r="51" spans="1:33" x14ac:dyDescent="0.2">
      <c r="A51" s="8">
        <v>9506</v>
      </c>
      <c r="B51" s="9" t="s">
        <v>211</v>
      </c>
      <c r="C51" s="10">
        <v>43531</v>
      </c>
      <c r="D51" s="11">
        <v>176</v>
      </c>
      <c r="E51" s="12" t="s">
        <v>34</v>
      </c>
      <c r="F51" s="12" t="s">
        <v>34</v>
      </c>
      <c r="G51" s="12" t="s">
        <v>34</v>
      </c>
      <c r="H51" s="12" t="s">
        <v>35</v>
      </c>
      <c r="I51" s="11" t="s">
        <v>226</v>
      </c>
      <c r="J51" s="12" t="s">
        <v>227</v>
      </c>
      <c r="K51" s="13" t="s">
        <v>137</v>
      </c>
      <c r="L51" s="11" t="str">
        <f>"000308"</f>
        <v>000308</v>
      </c>
      <c r="M51" s="10">
        <v>43427</v>
      </c>
      <c r="N51" s="11" t="str">
        <f>"000101"</f>
        <v>000101</v>
      </c>
      <c r="O51" s="10">
        <v>43496</v>
      </c>
      <c r="P51" s="11" t="str">
        <f>"000219"</f>
        <v>000219</v>
      </c>
      <c r="Q51" s="10">
        <v>43501</v>
      </c>
      <c r="R51" s="11"/>
      <c r="S51" s="11" t="str">
        <f>"009618"</f>
        <v>009618</v>
      </c>
      <c r="T51" s="10">
        <v>43529</v>
      </c>
      <c r="U51" s="14">
        <v>4.1295099999999998</v>
      </c>
      <c r="V51" s="14">
        <v>0.17044000000000001</v>
      </c>
      <c r="W51" s="14">
        <v>3.9590700000000001</v>
      </c>
      <c r="X51" s="11">
        <v>369</v>
      </c>
      <c r="Y51" s="10">
        <v>43531</v>
      </c>
      <c r="Z51" s="11">
        <v>9448090581</v>
      </c>
      <c r="AA51" s="12" t="s">
        <v>179</v>
      </c>
      <c r="AB51" s="11" t="s">
        <v>191</v>
      </c>
      <c r="AC51" s="12" t="s">
        <v>192</v>
      </c>
      <c r="AD51" s="11" t="s">
        <v>51</v>
      </c>
      <c r="AE51" s="12" t="s">
        <v>52</v>
      </c>
      <c r="AF51" s="14">
        <f t="shared" si="0"/>
        <v>4.1295100000000001E-2</v>
      </c>
      <c r="AG51" s="11" t="s">
        <v>122</v>
      </c>
    </row>
    <row r="52" spans="1:33" x14ac:dyDescent="0.2">
      <c r="A52" s="8">
        <v>9512</v>
      </c>
      <c r="B52" s="9" t="s">
        <v>211</v>
      </c>
      <c r="C52" s="10">
        <v>43531</v>
      </c>
      <c r="D52" s="11">
        <v>176</v>
      </c>
      <c r="E52" s="12" t="s">
        <v>34</v>
      </c>
      <c r="F52" s="12" t="s">
        <v>34</v>
      </c>
      <c r="G52" s="12" t="s">
        <v>34</v>
      </c>
      <c r="H52" s="12" t="s">
        <v>35</v>
      </c>
      <c r="I52" s="11" t="s">
        <v>228</v>
      </c>
      <c r="J52" s="12" t="s">
        <v>229</v>
      </c>
      <c r="K52" s="13" t="s">
        <v>47</v>
      </c>
      <c r="L52" s="11" t="str">
        <f>"000309"</f>
        <v>000309</v>
      </c>
      <c r="M52" s="10">
        <v>43427</v>
      </c>
      <c r="N52" s="11" t="str">
        <f>"000102"</f>
        <v>000102</v>
      </c>
      <c r="O52" s="10">
        <v>43496</v>
      </c>
      <c r="P52" s="11" t="str">
        <f>"000220"</f>
        <v>000220</v>
      </c>
      <c r="Q52" s="10">
        <v>43501</v>
      </c>
      <c r="R52" s="11"/>
      <c r="S52" s="11" t="str">
        <f>"009624"</f>
        <v>009624</v>
      </c>
      <c r="T52" s="10">
        <v>43529</v>
      </c>
      <c r="U52" s="14">
        <v>20.350470000000001</v>
      </c>
      <c r="V52" s="14">
        <v>0.89075000000000004</v>
      </c>
      <c r="W52" s="14">
        <v>19.459720000000001</v>
      </c>
      <c r="X52" s="11">
        <v>369</v>
      </c>
      <c r="Y52" s="10">
        <v>43531</v>
      </c>
      <c r="Z52" s="11">
        <v>9448090581</v>
      </c>
      <c r="AA52" s="12" t="s">
        <v>230</v>
      </c>
      <c r="AB52" s="11" t="s">
        <v>120</v>
      </c>
      <c r="AC52" s="12" t="s">
        <v>121</v>
      </c>
      <c r="AD52" s="11" t="s">
        <v>51</v>
      </c>
      <c r="AE52" s="12" t="s">
        <v>52</v>
      </c>
      <c r="AF52" s="14">
        <f t="shared" si="0"/>
        <v>0.20350470000000001</v>
      </c>
      <c r="AG52" s="11" t="s">
        <v>122</v>
      </c>
    </row>
    <row r="53" spans="1:33" x14ac:dyDescent="0.2">
      <c r="A53" s="8">
        <v>9662</v>
      </c>
      <c r="B53" s="9" t="s">
        <v>211</v>
      </c>
      <c r="C53" s="10">
        <v>43539</v>
      </c>
      <c r="D53" s="11">
        <v>176</v>
      </c>
      <c r="E53" s="12" t="s">
        <v>34</v>
      </c>
      <c r="F53" s="12" t="s">
        <v>34</v>
      </c>
      <c r="G53" s="12" t="s">
        <v>34</v>
      </c>
      <c r="H53" s="12" t="s">
        <v>35</v>
      </c>
      <c r="I53" s="11" t="s">
        <v>231</v>
      </c>
      <c r="J53" s="12" t="s">
        <v>232</v>
      </c>
      <c r="K53" s="13" t="s">
        <v>38</v>
      </c>
      <c r="L53" s="11" t="str">
        <f>"00080."</f>
        <v>00080.</v>
      </c>
      <c r="M53" s="10">
        <v>42916</v>
      </c>
      <c r="N53" s="11" t="str">
        <f>"000064"</f>
        <v>000064</v>
      </c>
      <c r="O53" s="10">
        <v>42915</v>
      </c>
      <c r="P53" s="11" t="str">
        <f>"000136"</f>
        <v>000136</v>
      </c>
      <c r="Q53" s="10">
        <v>42916</v>
      </c>
      <c r="R53" s="11"/>
      <c r="S53" s="11" t="str">
        <f>"009712"</f>
        <v>009712</v>
      </c>
      <c r="T53" s="10">
        <v>43538</v>
      </c>
      <c r="U53" s="14">
        <v>19.989070000000002</v>
      </c>
      <c r="V53" s="14">
        <v>2.36849</v>
      </c>
      <c r="W53" s="14">
        <v>17.62058</v>
      </c>
      <c r="X53" s="11">
        <v>376</v>
      </c>
      <c r="Y53" s="10">
        <v>43539</v>
      </c>
      <c r="Z53" s="11">
        <v>9901698462</v>
      </c>
      <c r="AA53" s="12" t="s">
        <v>99</v>
      </c>
      <c r="AB53" s="11" t="s">
        <v>100</v>
      </c>
      <c r="AC53" s="12" t="s">
        <v>101</v>
      </c>
      <c r="AD53" s="11" t="s">
        <v>51</v>
      </c>
      <c r="AE53" s="12" t="s">
        <v>52</v>
      </c>
      <c r="AF53" s="14">
        <f t="shared" si="0"/>
        <v>0.1998907</v>
      </c>
      <c r="AG53" s="11" t="s">
        <v>44</v>
      </c>
    </row>
    <row r="54" spans="1:33" x14ac:dyDescent="0.2">
      <c r="A54" s="8">
        <v>9820</v>
      </c>
      <c r="B54" s="9" t="s">
        <v>211</v>
      </c>
      <c r="C54" s="10">
        <v>43546</v>
      </c>
      <c r="D54" s="11">
        <v>176</v>
      </c>
      <c r="E54" s="12" t="s">
        <v>34</v>
      </c>
      <c r="F54" s="12" t="s">
        <v>34</v>
      </c>
      <c r="G54" s="12" t="s">
        <v>34</v>
      </c>
      <c r="H54" s="12" t="s">
        <v>35</v>
      </c>
      <c r="I54" s="11" t="s">
        <v>233</v>
      </c>
      <c r="J54" s="12" t="s">
        <v>234</v>
      </c>
      <c r="K54" s="13" t="s">
        <v>89</v>
      </c>
      <c r="L54" s="11" t="str">
        <f>"000416"</f>
        <v>000416</v>
      </c>
      <c r="M54" s="10">
        <v>43483</v>
      </c>
      <c r="N54" s="11" t="str">
        <f>"000106"</f>
        <v>000106</v>
      </c>
      <c r="O54" s="10">
        <v>43500</v>
      </c>
      <c r="P54" s="11" t="str">
        <f>"000224"</f>
        <v>000224</v>
      </c>
      <c r="Q54" s="10">
        <v>43509</v>
      </c>
      <c r="R54" s="11"/>
      <c r="S54" s="11" t="str">
        <f>"009833"</f>
        <v>009833</v>
      </c>
      <c r="T54" s="10">
        <v>43544</v>
      </c>
      <c r="U54" s="14">
        <v>24.256820000000001</v>
      </c>
      <c r="V54" s="14">
        <v>2.4053499999999999</v>
      </c>
      <c r="W54" s="14">
        <v>21.851469999999999</v>
      </c>
      <c r="X54" s="11">
        <v>382</v>
      </c>
      <c r="Y54" s="10">
        <v>43546</v>
      </c>
      <c r="Z54" s="11">
        <v>9845135453</v>
      </c>
      <c r="AA54" s="12" t="s">
        <v>235</v>
      </c>
      <c r="AB54" s="11" t="s">
        <v>236</v>
      </c>
      <c r="AC54" s="12" t="s">
        <v>237</v>
      </c>
      <c r="AD54" s="11" t="s">
        <v>51</v>
      </c>
      <c r="AE54" s="12" t="s">
        <v>52</v>
      </c>
      <c r="AF54" s="14">
        <f t="shared" si="0"/>
        <v>0.24256820000000001</v>
      </c>
      <c r="AG54" s="11" t="s">
        <v>122</v>
      </c>
    </row>
    <row r="55" spans="1:33" x14ac:dyDescent="0.2">
      <c r="A55" s="8">
        <v>10027</v>
      </c>
      <c r="B55" s="9" t="s">
        <v>211</v>
      </c>
      <c r="C55" s="10">
        <v>43552</v>
      </c>
      <c r="D55" s="11">
        <v>176</v>
      </c>
      <c r="E55" s="12" t="s">
        <v>34</v>
      </c>
      <c r="F55" s="12" t="s">
        <v>34</v>
      </c>
      <c r="G55" s="12" t="s">
        <v>34</v>
      </c>
      <c r="H55" s="12" t="s">
        <v>35</v>
      </c>
      <c r="I55" s="11" t="s">
        <v>238</v>
      </c>
      <c r="J55" s="12" t="s">
        <v>239</v>
      </c>
      <c r="K55" s="13" t="s">
        <v>47</v>
      </c>
      <c r="L55" s="11" t="str">
        <f>"000041"</f>
        <v>000041</v>
      </c>
      <c r="M55" s="10">
        <v>42916</v>
      </c>
      <c r="N55" s="11" t="str">
        <f>"000073"</f>
        <v>000073</v>
      </c>
      <c r="O55" s="10">
        <v>42915</v>
      </c>
      <c r="P55" s="11" t="str">
        <f>"000175"</f>
        <v>000175</v>
      </c>
      <c r="Q55" s="10">
        <v>42916</v>
      </c>
      <c r="R55" s="11"/>
      <c r="S55" s="11" t="str">
        <f>"010089"</f>
        <v>010089</v>
      </c>
      <c r="T55" s="10">
        <v>43552</v>
      </c>
      <c r="U55" s="14">
        <v>9.7605799999999991</v>
      </c>
      <c r="V55" s="14">
        <v>1.13768</v>
      </c>
      <c r="W55" s="14">
        <v>8.6228999999999996</v>
      </c>
      <c r="X55" s="11">
        <v>390</v>
      </c>
      <c r="Y55" s="10">
        <v>43552</v>
      </c>
      <c r="Z55" s="11">
        <v>9901698462</v>
      </c>
      <c r="AA55" s="12" t="s">
        <v>240</v>
      </c>
      <c r="AB55" s="11" t="s">
        <v>100</v>
      </c>
      <c r="AC55" s="12" t="s">
        <v>101</v>
      </c>
      <c r="AD55" s="11" t="s">
        <v>51</v>
      </c>
      <c r="AE55" s="12" t="s">
        <v>52</v>
      </c>
      <c r="AF55" s="14">
        <f t="shared" si="0"/>
        <v>9.7605799999999993E-2</v>
      </c>
      <c r="AG55" s="11" t="s">
        <v>44</v>
      </c>
    </row>
    <row r="56" spans="1:33" x14ac:dyDescent="0.2">
      <c r="A56" s="8">
        <v>10028</v>
      </c>
      <c r="B56" s="9" t="s">
        <v>211</v>
      </c>
      <c r="C56" s="10">
        <v>43552</v>
      </c>
      <c r="D56" s="11">
        <v>176</v>
      </c>
      <c r="E56" s="12" t="s">
        <v>34</v>
      </c>
      <c r="F56" s="12" t="s">
        <v>34</v>
      </c>
      <c r="G56" s="12" t="s">
        <v>34</v>
      </c>
      <c r="H56" s="12" t="s">
        <v>35</v>
      </c>
      <c r="I56" s="11" t="s">
        <v>241</v>
      </c>
      <c r="J56" s="12" t="s">
        <v>242</v>
      </c>
      <c r="K56" s="13" t="s">
        <v>38</v>
      </c>
      <c r="L56" s="11" t="str">
        <f>"000006"</f>
        <v>000006</v>
      </c>
      <c r="M56" s="10">
        <v>42832</v>
      </c>
      <c r="N56" s="11" t="str">
        <f>"000074"</f>
        <v>000074</v>
      </c>
      <c r="O56" s="10">
        <v>42915</v>
      </c>
      <c r="P56" s="11" t="str">
        <f>"000176"</f>
        <v>000176</v>
      </c>
      <c r="Q56" s="10">
        <v>42916</v>
      </c>
      <c r="R56" s="11"/>
      <c r="S56" s="11" t="str">
        <f>"010090"</f>
        <v>010090</v>
      </c>
      <c r="T56" s="10">
        <v>43552</v>
      </c>
      <c r="U56" s="14">
        <v>18.725190000000001</v>
      </c>
      <c r="V56" s="14">
        <v>2.4757500000000001</v>
      </c>
      <c r="W56" s="14">
        <v>16.24944</v>
      </c>
      <c r="X56" s="11">
        <v>390</v>
      </c>
      <c r="Y56" s="10">
        <v>43552</v>
      </c>
      <c r="Z56" s="11">
        <v>9901698462</v>
      </c>
      <c r="AA56" s="12" t="s">
        <v>75</v>
      </c>
      <c r="AB56" s="11" t="s">
        <v>60</v>
      </c>
      <c r="AC56" s="12" t="s">
        <v>61</v>
      </c>
      <c r="AD56" s="11" t="s">
        <v>51</v>
      </c>
      <c r="AE56" s="12" t="s">
        <v>52</v>
      </c>
      <c r="AF56" s="14">
        <f t="shared" si="0"/>
        <v>0.18725190000000003</v>
      </c>
      <c r="AG56" s="11" t="s">
        <v>44</v>
      </c>
    </row>
    <row r="57" spans="1:33" x14ac:dyDescent="0.2">
      <c r="A57" s="8">
        <v>10029</v>
      </c>
      <c r="B57" s="9" t="s">
        <v>211</v>
      </c>
      <c r="C57" s="10">
        <v>43552</v>
      </c>
      <c r="D57" s="11">
        <v>176</v>
      </c>
      <c r="E57" s="12" t="s">
        <v>34</v>
      </c>
      <c r="F57" s="12" t="s">
        <v>34</v>
      </c>
      <c r="G57" s="12" t="s">
        <v>34</v>
      </c>
      <c r="H57" s="12" t="s">
        <v>35</v>
      </c>
      <c r="I57" s="11" t="s">
        <v>243</v>
      </c>
      <c r="J57" s="12" t="s">
        <v>244</v>
      </c>
      <c r="K57" s="13" t="s">
        <v>38</v>
      </c>
      <c r="L57" s="11" t="str">
        <f>"000007"</f>
        <v>000007</v>
      </c>
      <c r="M57" s="10">
        <v>42832</v>
      </c>
      <c r="N57" s="11" t="str">
        <f>"000075"</f>
        <v>000075</v>
      </c>
      <c r="O57" s="10">
        <v>42915</v>
      </c>
      <c r="P57" s="11" t="str">
        <f>"000177"</f>
        <v>000177</v>
      </c>
      <c r="Q57" s="10">
        <v>42916</v>
      </c>
      <c r="R57" s="11"/>
      <c r="S57" s="11" t="str">
        <f>"010091"</f>
        <v>010091</v>
      </c>
      <c r="T57" s="10">
        <v>43552</v>
      </c>
      <c r="U57" s="14">
        <v>18.875499999999999</v>
      </c>
      <c r="V57" s="14">
        <v>2.38957</v>
      </c>
      <c r="W57" s="14">
        <v>16.48593</v>
      </c>
      <c r="X57" s="11">
        <v>390</v>
      </c>
      <c r="Y57" s="10">
        <v>43552</v>
      </c>
      <c r="Z57" s="11">
        <v>9901698462</v>
      </c>
      <c r="AA57" s="12" t="s">
        <v>245</v>
      </c>
      <c r="AB57" s="11" t="s">
        <v>60</v>
      </c>
      <c r="AC57" s="12" t="s">
        <v>61</v>
      </c>
      <c r="AD57" s="11" t="s">
        <v>51</v>
      </c>
      <c r="AE57" s="12" t="s">
        <v>52</v>
      </c>
      <c r="AF57" s="14">
        <f t="shared" si="0"/>
        <v>0.18875499999999998</v>
      </c>
      <c r="AG57" s="11" t="s">
        <v>44</v>
      </c>
    </row>
    <row r="58" spans="1:33" x14ac:dyDescent="0.2">
      <c r="A58" s="8">
        <v>10031</v>
      </c>
      <c r="B58" s="9" t="s">
        <v>211</v>
      </c>
      <c r="C58" s="10">
        <v>43552</v>
      </c>
      <c r="D58" s="11">
        <v>176</v>
      </c>
      <c r="E58" s="12" t="s">
        <v>34</v>
      </c>
      <c r="F58" s="12" t="s">
        <v>34</v>
      </c>
      <c r="G58" s="12" t="s">
        <v>34</v>
      </c>
      <c r="H58" s="12" t="s">
        <v>35</v>
      </c>
      <c r="I58" s="11" t="s">
        <v>246</v>
      </c>
      <c r="J58" s="12" t="s">
        <v>247</v>
      </c>
      <c r="K58" s="13" t="s">
        <v>38</v>
      </c>
      <c r="L58" s="11" t="str">
        <f>"00058."</f>
        <v>00058.</v>
      </c>
      <c r="M58" s="10">
        <v>42896</v>
      </c>
      <c r="N58" s="11" t="str">
        <f>"000076"</f>
        <v>000076</v>
      </c>
      <c r="O58" s="10">
        <v>42916</v>
      </c>
      <c r="P58" s="11" t="str">
        <f>"000179"</f>
        <v>000179</v>
      </c>
      <c r="Q58" s="10">
        <v>42916</v>
      </c>
      <c r="R58" s="11"/>
      <c r="S58" s="11" t="str">
        <f>"010093"</f>
        <v>010093</v>
      </c>
      <c r="T58" s="10">
        <v>43552</v>
      </c>
      <c r="U58" s="14">
        <v>23.88533</v>
      </c>
      <c r="V58" s="14">
        <v>3.14012</v>
      </c>
      <c r="W58" s="14">
        <v>20.74521</v>
      </c>
      <c r="X58" s="11">
        <v>390</v>
      </c>
      <c r="Y58" s="10">
        <v>43552</v>
      </c>
      <c r="Z58" s="11">
        <v>9901698462</v>
      </c>
      <c r="AA58" s="12" t="s">
        <v>245</v>
      </c>
      <c r="AB58" s="11" t="s">
        <v>60</v>
      </c>
      <c r="AC58" s="12" t="s">
        <v>61</v>
      </c>
      <c r="AD58" s="11" t="s">
        <v>51</v>
      </c>
      <c r="AE58" s="12" t="s">
        <v>52</v>
      </c>
      <c r="AF58" s="14">
        <f t="shared" si="0"/>
        <v>0.23885329999999999</v>
      </c>
      <c r="AG58" s="11" t="s">
        <v>44</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2019-06-14T08:42:49Z</dcterms:modified>
</cp:coreProperties>
</file>