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8" i="1" l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<sst xmlns="http://schemas.openxmlformats.org/spreadsheetml/2006/main" count="691" uniqueCount="207">
  <si>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</si>
  <si>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</si>
  <si>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</si>
  <si>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</si>
  <si>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</si>
  <si>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</si>
  <si>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</si>
  <si>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</si>
  <si>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</si>
  <si>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</si>
  <si>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</si>
  <si>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</si>
  <si>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</si>
  <si>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</si>
  <si>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</si>
  <si>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</si>
  <si>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</si>
  <si>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</si>
  <si>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</si>
  <si>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</si>
  <si>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</si>
  <si>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</si>
  <si>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</si>
  <si>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</si>
  <si>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</si>
  <si>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</si>
  <si>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</si>
  <si>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</si>
  <si>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</si>
  <si>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</si>
  <si>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</si>
  <si>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</si>
  <si>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</si>
  <si>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</si>
  <si>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Radhakrishna Temple Ward</t>
  </si>
  <si>
    <t>Hebbala</t>
  </si>
  <si>
    <t>East</t>
  </si>
  <si>
    <t>018-17-000023</t>
  </si>
  <si>
    <t>Drilling of Borewells at Lottegollahalli in MLA layout surroundings in ward no 18</t>
  </si>
  <si>
    <t>Water &amp; Sanitary</t>
  </si>
  <si>
    <t>KRIDL</t>
  </si>
  <si>
    <t>P2178</t>
  </si>
  <si>
    <t>Works sanctioned by Dy. Mayor</t>
  </si>
  <si>
    <t>ddo077</t>
  </si>
  <si>
    <t xml:space="preserve"> Assistant Executive Engineer Hebbal East Zone</t>
  </si>
  <si>
    <t>Pending</t>
  </si>
  <si>
    <t>018-17-000024</t>
  </si>
  <si>
    <t>Drilling of Borewells at Ashwath Nagara and surroundings in ward no 18</t>
  </si>
  <si>
    <t>018-17-000026</t>
  </si>
  <si>
    <t>Drilling of Borewells at ACS layout and surroundings in ward no 18</t>
  </si>
  <si>
    <t>018-17-000028</t>
  </si>
  <si>
    <t>PROVIDING POTHOLE FILLING IN RADHAKRISHNA TEMPLE WARD NO 18</t>
  </si>
  <si>
    <t>Roads &amp; Drivablility</t>
  </si>
  <si>
    <t>Sri K Siddaraju</t>
  </si>
  <si>
    <t>P1771</t>
  </si>
  <si>
    <t>Zone Works - POW Works</t>
  </si>
  <si>
    <t>June</t>
  </si>
  <si>
    <t>018-18-000004</t>
  </si>
  <si>
    <t>Providing Asphalting and RCC roads, drains and culverts, covering slab to Jaladarshini layout cross roads and surrounding areas in ward no 18</t>
  </si>
  <si>
    <t>P3111</t>
  </si>
  <si>
    <t>State Finance Commission Untied Grant Works</t>
  </si>
  <si>
    <t>Current</t>
  </si>
  <si>
    <t>018-18-000009</t>
  </si>
  <si>
    <t>Development of Om Shakthi Temple roads and CAD and MET layout cross roads by providing asphalting and drains in ward no 18.</t>
  </si>
  <si>
    <t>018-17-000058</t>
  </si>
  <si>
    <t xml:space="preserve">Providing and fixing of LED Street lights in Ward No in 18 in Hebbal Division </t>
  </si>
  <si>
    <t>Footpaths &amp; Walkability</t>
  </si>
  <si>
    <t>M/s.KRIDL</t>
  </si>
  <si>
    <t>P3110</t>
  </si>
  <si>
    <t>14th Finance Commission Grant Works</t>
  </si>
  <si>
    <t>ddo089</t>
  </si>
  <si>
    <t xml:space="preserve"> Assistant Executive Engineer Electrical East Zone</t>
  </si>
  <si>
    <t>018-18-000008</t>
  </si>
  <si>
    <t>Providing asphalting and RCC roads to Govindappa layaout road, drainage and covering slab to cross roads and dead T road in ward no 18.</t>
  </si>
  <si>
    <t xml:space="preserve">KRIDl </t>
  </si>
  <si>
    <t>018-16-000037</t>
  </si>
  <si>
    <t>Construction of drain and improvements to roads in MLA Layout in ward no 18</t>
  </si>
  <si>
    <t>M/S. KRIDL LTD</t>
  </si>
  <si>
    <t>July</t>
  </si>
  <si>
    <t>018-16-000038</t>
  </si>
  <si>
    <t>Asphalting to cross roads in KGE Layout in ward no 18</t>
  </si>
  <si>
    <t>018-14-000030</t>
  </si>
  <si>
    <t>Construction of Cement Concrete to Basaveswara layout cross roads in Ward No. 18</t>
  </si>
  <si>
    <t>P2434</t>
  </si>
  <si>
    <t>Development works for Bangalore City</t>
  </si>
  <si>
    <t>314-12-000001</t>
  </si>
  <si>
    <t>Annual Street light maintenance at ward no 18 and 19Package-EI</t>
  </si>
  <si>
    <t>Chaithanya Electricals</t>
  </si>
  <si>
    <t>P0300</t>
  </si>
  <si>
    <t>M and R to Street Lights - Replacement of Burnt Bulbs etc. (Package)</t>
  </si>
  <si>
    <t>018-18-000003</t>
  </si>
  <si>
    <t>Providing Asphalting and RCC roads, drains and culverts, covering slab to Gowdru colony, cross roads and surrounding areas in ward no 18</t>
  </si>
  <si>
    <t>018-17-000059</t>
  </si>
  <si>
    <t>Engagement of Gangman and Hiring of Troctor Tippers for cleaning and Maintenance of road side drains and other cleaning works in works in ward no 18</t>
  </si>
  <si>
    <t xml:space="preserve">N.Kumar Reddy </t>
  </si>
  <si>
    <t>018-16-000001</t>
  </si>
  <si>
    <t>Operation and Maintenance of street lights at Radhakrishna temple and Sanjaynagara area ward nos 18 and 19 Package E1 for One year.</t>
  </si>
  <si>
    <t>M/s.S.M.S Electricals</t>
  </si>
  <si>
    <t>August</t>
  </si>
  <si>
    <t>018-17-000025</t>
  </si>
  <si>
    <t>Drilling of Borewells at CIL layout and surroundings in ward no 18</t>
  </si>
  <si>
    <t>018-17-000004</t>
  </si>
  <si>
    <t>Construction of Drainage and slabs in 3rd cross KGE layout in ward 18</t>
  </si>
  <si>
    <t>P0190</t>
  </si>
  <si>
    <t>Works sanctioned by Hon Mayor</t>
  </si>
  <si>
    <t>018-17-000002</t>
  </si>
  <si>
    <t>Construction of Drainage and slabs in 1st cross KGE layout in ward 18</t>
  </si>
  <si>
    <t>018-17-000003</t>
  </si>
  <si>
    <t>Construction of Drainage and slabs in 2nd cross KGE layout in ward 18</t>
  </si>
  <si>
    <t>018-18-000001</t>
  </si>
  <si>
    <t>Providing asphalting and RCC roads, drains and culverts, covering slab near Nagashettihalli Bus stop, cross roads and surrounding areas in ward no 18</t>
  </si>
  <si>
    <t>018-17-000035</t>
  </si>
  <si>
    <t>PROVIDING NAME BOARD AND CROSS BOARD PLATES IN RADHAKRISHNA TEMPLE WARD NO 18</t>
  </si>
  <si>
    <t>L.Gangadhar</t>
  </si>
  <si>
    <t>018-16-000040</t>
  </si>
  <si>
    <t>Providing re chip carpeting to 3rd main and 10th cross of HIG Colony RMV 2nd Stage in ward no 18</t>
  </si>
  <si>
    <t>Other Ward Works</t>
  </si>
  <si>
    <t>Sri Sai Charan Construction</t>
  </si>
  <si>
    <t>P0541</t>
  </si>
  <si>
    <t>Emergency Reserve Fund</t>
  </si>
  <si>
    <t>018-16-000039</t>
  </si>
  <si>
    <t>Providing re chip carpeting to 4th main and 7th cross of HIG Colony RMV 2nd Stage in ward no 18</t>
  </si>
  <si>
    <t xml:space="preserve">Sri Sai Charan Constructions </t>
  </si>
  <si>
    <t>018-17-000066</t>
  </si>
  <si>
    <t>Drillling of borewell and fixing of pipelines at Lottegolahalli Andria Apartments Naidu Layout near ISRO Sanjaynagar in ward no 18</t>
  </si>
  <si>
    <t xml:space="preserve">KRIDL </t>
  </si>
  <si>
    <t>018-17-000064</t>
  </si>
  <si>
    <t xml:space="preserve">Drillling of borewell and fixing of pipelines at Krishnappa layout Sanjaynagar Gedlahalli village near Kodandappa House and opposite to Whisphering Meadows in Patellappa layout in ward no 18 </t>
  </si>
  <si>
    <t>018-17-000065</t>
  </si>
  <si>
    <t>Drillling of borewell and fixing of pipelines at LIC Krishnappa house Old Arrack Shop road, AK colony and Bande colony Gedlahalli in ward no 18</t>
  </si>
  <si>
    <t>September</t>
  </si>
  <si>
    <t>018-16-000002</t>
  </si>
  <si>
    <t>IMPROVEMENTS TO ROAD FROM 1ST CROSS TO 3RD CROSS IN MANJUNATHA LAYOUT IN WARD NO 18</t>
  </si>
  <si>
    <t>Nithin Enterprises</t>
  </si>
  <si>
    <t>October</t>
  </si>
  <si>
    <t>018-11-000153</t>
  </si>
  <si>
    <t>Construction of individual houses for SC ST beneficiaries at Geddala Halli Block-1 in Ward No. 18</t>
  </si>
  <si>
    <t>Public Amenities</t>
  </si>
  <si>
    <t>Sri Balaji Enterprises</t>
  </si>
  <si>
    <t>P1878</t>
  </si>
  <si>
    <t>18per - Works (Bhagyajyothi, Sooru / Neeru Yojane and General) (54 Lakhs / New Wards)</t>
  </si>
  <si>
    <t>018-11-000154</t>
  </si>
  <si>
    <t>Construction of individual houses for SC ST beneficiaries at Geddala Halli Block-2 in Ward No. 18</t>
  </si>
  <si>
    <t>018-18-000041</t>
  </si>
  <si>
    <t>Drilling of borewell and pipeline works for providing drinking water in ward no 18</t>
  </si>
  <si>
    <t>Drinking Water</t>
  </si>
  <si>
    <t>P3293</t>
  </si>
  <si>
    <t>14th Finance Commission Works - Drinking Water</t>
  </si>
  <si>
    <t>Spill Over</t>
  </si>
  <si>
    <t>018-18-000044</t>
  </si>
  <si>
    <t>Development and improvments to roads and drains in ward no 18</t>
  </si>
  <si>
    <t>P3296</t>
  </si>
  <si>
    <t>14th Finance Commission Works - Road and Footpath Maintenance</t>
  </si>
  <si>
    <t>November</t>
  </si>
  <si>
    <t>018-18-000038</t>
  </si>
  <si>
    <t>Providing Street light and maiantenance at ward no 18</t>
  </si>
  <si>
    <t>P3290</t>
  </si>
  <si>
    <t>14th Finance Commission Works - Providing Street Lights and Maintenance</t>
  </si>
  <si>
    <t>018-18-000002</t>
  </si>
  <si>
    <t>Development of RCC roads, drains and culverts, covering slab to Manjunatha layout 5th cross, 3rd cross and surrounding areas in ward no 18</t>
  </si>
  <si>
    <t>December</t>
  </si>
  <si>
    <t>018-12-000004</t>
  </si>
  <si>
    <t>Providing Rain Water Harvesting Sump in Govt., Model School in Ward No. 18</t>
  </si>
  <si>
    <t>Rain Water Harvestin</t>
  </si>
  <si>
    <t>Rajagopal Naidu</t>
  </si>
  <si>
    <t>018-18-000007</t>
  </si>
  <si>
    <t>Providing CC roads to Railway underpass roads and asphalting to storm water drain road in Dollars colony ward no 18.</t>
  </si>
  <si>
    <t>Storm Water Drains</t>
  </si>
  <si>
    <t>018-18-000010</t>
  </si>
  <si>
    <t>Providing cement concrete roads, drains and culverts to Ashwathnagar cross roads and surrounding roads in ward no 18</t>
  </si>
  <si>
    <t>January</t>
  </si>
  <si>
    <t>018-17-000021</t>
  </si>
  <si>
    <t>Construction of compound wall grill and development works at hindu Burial ground at gedalahalli i n ward no 18</t>
  </si>
  <si>
    <t>018-17-000022</t>
  </si>
  <si>
    <t>Construction of compound wall and development works to school building and BBMP play ground in ward no 18</t>
  </si>
  <si>
    <t>Trees, Parks &amp; Playgrounds</t>
  </si>
  <si>
    <t>February</t>
  </si>
  <si>
    <t>018-18-000045</t>
  </si>
  <si>
    <t>improvments to secondary and territory drains in ward no 18</t>
  </si>
  <si>
    <t>P3297</t>
  </si>
  <si>
    <t>14th Finance Commission Grants - SWD Works</t>
  </si>
  <si>
    <t>March</t>
  </si>
  <si>
    <t>018-18-000005</t>
  </si>
  <si>
    <t>Providing Asphalting and RCC roads, drains and culverts, covering slab to Patelappa layout 4th cross and cross roads surrounding areas in ward no 18</t>
  </si>
  <si>
    <t>018-17-000117</t>
  </si>
  <si>
    <t>Development of Secondary Territairy drains in W N 18 Radhakrishna Temple ward</t>
  </si>
  <si>
    <t>018-17-000001</t>
  </si>
  <si>
    <t>Construction of CC Road (RMC) from ISRO Cross road to Judicial layout via ISRO Main Gate Radhakrishna Temple ward no 18</t>
  </si>
  <si>
    <t>N.S.Infras</t>
  </si>
  <si>
    <t>018-18-000068</t>
  </si>
  <si>
    <t xml:space="preserve">Construction of Compound wall and other required Civil works to Indira Kitchen at Ward No. 18 </t>
  </si>
  <si>
    <t>Indira Canteen</t>
  </si>
  <si>
    <t>P3106</t>
  </si>
  <si>
    <t>Nagarothana Works</t>
  </si>
  <si>
    <t>018-18-000072</t>
  </si>
  <si>
    <t xml:space="preserve">Construction of compound wall footpath and other civil works to canteen in ward no-18 </t>
  </si>
  <si>
    <t>M/s.KRIDL Executive Engineer 4</t>
  </si>
  <si>
    <t>ddo661</t>
  </si>
  <si>
    <t xml:space="preserve"> Executive Engineer Road Infrastructure Rajarajeshwari Nagar Division Central Zone</t>
  </si>
  <si>
    <t>018-18-000071</t>
  </si>
  <si>
    <t xml:space="preserve">Construction of Compound wall to park near new BEL road and other beautification works to Indira canteen in Ward no-18 </t>
  </si>
  <si>
    <t>M/s. KRIDL Executive Engineer - 4</t>
  </si>
  <si>
    <t>018-18-000046</t>
  </si>
  <si>
    <t>Improvments to works related tp Solid weste management in ward no 18</t>
  </si>
  <si>
    <t>Lenkappa C.H.</t>
  </si>
  <si>
    <t>P3298</t>
  </si>
  <si>
    <t>14th Finance Commission Works - SWM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</si>
</sst>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pane ySplit="1" topLeftCell="A2" activePane="bottomLeft" state="frozen"/>
      <selection activeCell="H1" sqref="H1"/>
      <selection pane="bottomLeft" activeCell="C10" sqref="C1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803</v>
      </c>
      <c r="B2" s="9" t="s">
        <v>33</v>
      </c>
      <c r="C2" s="10">
        <v>43225</v>
      </c>
      <c r="D2" s="11">
        <v>18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"000156"</f>
        <v>000156</v>
      </c>
      <c r="M2" s="10">
        <v>42718</v>
      </c>
      <c r="N2" s="11" t="str">
        <f>"000103"</f>
        <v>000103</v>
      </c>
      <c r="O2" s="10">
        <v>42794</v>
      </c>
      <c r="P2" s="11" t="str">
        <f>"000400"</f>
        <v>000400</v>
      </c>
      <c r="Q2" s="10">
        <v>42794</v>
      </c>
      <c r="R2" s="11">
        <v>17</v>
      </c>
      <c r="S2" s="11" t="str">
        <f>"001009"</f>
        <v>001009</v>
      </c>
      <c r="T2" s="10">
        <v>43223</v>
      </c>
      <c r="U2" s="14">
        <v>6.2332000000000001</v>
      </c>
      <c r="V2" s="14">
        <v>0.78563000000000005</v>
      </c>
      <c r="W2" s="14">
        <v>5.4475699999999998</v>
      </c>
      <c r="X2" s="11">
        <v>38</v>
      </c>
      <c r="Y2" s="10">
        <v>43225</v>
      </c>
      <c r="Z2" s="11">
        <v>8023330521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6.2331999999999999E-2</v>
      </c>
      <c r="AG2" s="11" t="s">
        <v>45</v>
      </c>
    </row>
    <row r="3" spans="1:33" x14ac:dyDescent="0.2">
      <c r="A3" s="8">
        <v>804</v>
      </c>
      <c r="B3" s="9" t="s">
        <v>33</v>
      </c>
      <c r="C3" s="10">
        <v>43225</v>
      </c>
      <c r="D3" s="11">
        <v>18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"000158"</f>
        <v>000158</v>
      </c>
      <c r="M3" s="10">
        <v>42718</v>
      </c>
      <c r="N3" s="11" t="str">
        <f>"000104"</f>
        <v>000104</v>
      </c>
      <c r="O3" s="10">
        <v>42794</v>
      </c>
      <c r="P3" s="11" t="str">
        <f>"000401"</f>
        <v>000401</v>
      </c>
      <c r="Q3" s="10">
        <v>42794</v>
      </c>
      <c r="R3" s="11">
        <v>17</v>
      </c>
      <c r="S3" s="11" t="str">
        <f>"001010"</f>
        <v>001010</v>
      </c>
      <c r="T3" s="10">
        <v>43223</v>
      </c>
      <c r="U3" s="14">
        <v>6.23332</v>
      </c>
      <c r="V3" s="14">
        <v>0.78563000000000005</v>
      </c>
      <c r="W3" s="14">
        <v>5.4476899999999997</v>
      </c>
      <c r="X3" s="11">
        <v>38</v>
      </c>
      <c r="Y3" s="10">
        <v>43225</v>
      </c>
      <c r="Z3" s="11">
        <v>8023330521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6.2333199999999998E-2</v>
      </c>
      <c r="AG3" s="11" t="s">
        <v>45</v>
      </c>
    </row>
    <row r="4" spans="1:33" x14ac:dyDescent="0.2">
      <c r="A4" s="8">
        <v>805</v>
      </c>
      <c r="B4" s="9" t="s">
        <v>33</v>
      </c>
      <c r="C4" s="10">
        <v>43225</v>
      </c>
      <c r="D4" s="11">
        <v>18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48</v>
      </c>
      <c r="J4" s="12" t="s">
        <v>49</v>
      </c>
      <c r="K4" s="13" t="s">
        <v>39</v>
      </c>
      <c r="L4" s="11" t="str">
        <f>"000157"</f>
        <v>000157</v>
      </c>
      <c r="M4" s="10">
        <v>42718</v>
      </c>
      <c r="N4" s="11" t="str">
        <f>"000105"</f>
        <v>000105</v>
      </c>
      <c r="O4" s="10">
        <v>42794</v>
      </c>
      <c r="P4" s="11" t="str">
        <f>"000402"</f>
        <v>000402</v>
      </c>
      <c r="Q4" s="10">
        <v>42794</v>
      </c>
      <c r="R4" s="11">
        <v>17</v>
      </c>
      <c r="S4" s="11" t="str">
        <f>"001021"</f>
        <v>001021</v>
      </c>
      <c r="T4" s="10">
        <v>43223</v>
      </c>
      <c r="U4" s="14">
        <v>6.23332</v>
      </c>
      <c r="V4" s="14">
        <v>0.78563000000000005</v>
      </c>
      <c r="W4" s="14">
        <v>5.4476899999999997</v>
      </c>
      <c r="X4" s="11">
        <v>38</v>
      </c>
      <c r="Y4" s="10">
        <v>43225</v>
      </c>
      <c r="Z4" s="11">
        <v>8023330521</v>
      </c>
      <c r="AA4" s="12" t="s">
        <v>40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6.2333199999999998E-2</v>
      </c>
      <c r="AG4" s="11" t="s">
        <v>45</v>
      </c>
    </row>
    <row r="5" spans="1:33" x14ac:dyDescent="0.2">
      <c r="A5" s="8">
        <v>806</v>
      </c>
      <c r="B5" s="9" t="s">
        <v>33</v>
      </c>
      <c r="C5" s="10">
        <v>43225</v>
      </c>
      <c r="D5" s="11">
        <v>18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50</v>
      </c>
      <c r="J5" s="12" t="s">
        <v>51</v>
      </c>
      <c r="K5" s="13" t="s">
        <v>52</v>
      </c>
      <c r="L5" s="11" t="str">
        <f>"000084"</f>
        <v>000084</v>
      </c>
      <c r="M5" s="10">
        <v>43104</v>
      </c>
      <c r="N5" s="11" t="str">
        <f>"000033"</f>
        <v>000033</v>
      </c>
      <c r="O5" s="10">
        <v>43118</v>
      </c>
      <c r="P5" s="11" t="str">
        <f>"000102"</f>
        <v>000102</v>
      </c>
      <c r="Q5" s="10">
        <v>43118</v>
      </c>
      <c r="R5" s="11">
        <v>17</v>
      </c>
      <c r="S5" s="11" t="str">
        <f>"000999"</f>
        <v>000999</v>
      </c>
      <c r="T5" s="10">
        <v>43223</v>
      </c>
      <c r="U5" s="14">
        <v>19.681380000000001</v>
      </c>
      <c r="V5" s="14">
        <v>0.57621</v>
      </c>
      <c r="W5" s="14">
        <v>19.105170000000001</v>
      </c>
      <c r="X5" s="11">
        <v>39</v>
      </c>
      <c r="Y5" s="10">
        <v>43225</v>
      </c>
      <c r="Z5" s="11">
        <v>8023330521</v>
      </c>
      <c r="AA5" s="12" t="s">
        <v>53</v>
      </c>
      <c r="AB5" s="11" t="s">
        <v>54</v>
      </c>
      <c r="AC5" s="12" t="s">
        <v>55</v>
      </c>
      <c r="AD5" s="11" t="s">
        <v>43</v>
      </c>
      <c r="AE5" s="12" t="s">
        <v>44</v>
      </c>
      <c r="AF5" s="14">
        <v>0.19681380000000001</v>
      </c>
      <c r="AG5" s="11" t="s">
        <v>45</v>
      </c>
    </row>
    <row r="6" spans="1:33" x14ac:dyDescent="0.2">
      <c r="A6" s="8">
        <v>1738</v>
      </c>
      <c r="B6" s="9" t="s">
        <v>56</v>
      </c>
      <c r="C6" s="10">
        <v>43257</v>
      </c>
      <c r="D6" s="11">
        <v>18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57</v>
      </c>
      <c r="J6" s="12" t="s">
        <v>58</v>
      </c>
      <c r="K6" s="13" t="s">
        <v>52</v>
      </c>
      <c r="L6" s="11" t="str">
        <f>"000012"</f>
        <v>000012</v>
      </c>
      <c r="M6" s="10">
        <v>43222</v>
      </c>
      <c r="N6" s="11" t="str">
        <f>"000008"</f>
        <v>000008</v>
      </c>
      <c r="O6" s="10">
        <v>43222</v>
      </c>
      <c r="P6" s="11" t="str">
        <f>"000014"</f>
        <v>000014</v>
      </c>
      <c r="Q6" s="10">
        <v>43222</v>
      </c>
      <c r="R6" s="11">
        <v>18</v>
      </c>
      <c r="S6" s="11" t="str">
        <f>"002083"</f>
        <v>002083</v>
      </c>
      <c r="T6" s="10">
        <v>43251</v>
      </c>
      <c r="U6" s="14">
        <v>49.996119999999998</v>
      </c>
      <c r="V6" s="14">
        <v>4.3127000000000004</v>
      </c>
      <c r="W6" s="14">
        <v>45.683419999999998</v>
      </c>
      <c r="X6" s="11">
        <v>73</v>
      </c>
      <c r="Y6" s="10">
        <v>43257</v>
      </c>
      <c r="Z6" s="11">
        <v>8023330521</v>
      </c>
      <c r="AA6" s="12" t="s">
        <v>40</v>
      </c>
      <c r="AB6" s="11" t="s">
        <v>59</v>
      </c>
      <c r="AC6" s="12" t="s">
        <v>60</v>
      </c>
      <c r="AD6" s="11" t="s">
        <v>43</v>
      </c>
      <c r="AE6" s="12" t="s">
        <v>44</v>
      </c>
      <c r="AF6" s="14">
        <v>0.49996119999999999</v>
      </c>
      <c r="AG6" s="11" t="s">
        <v>61</v>
      </c>
    </row>
    <row r="7" spans="1:33" x14ac:dyDescent="0.2">
      <c r="A7" s="8">
        <v>1739</v>
      </c>
      <c r="B7" s="9" t="s">
        <v>56</v>
      </c>
      <c r="C7" s="10">
        <v>43257</v>
      </c>
      <c r="D7" s="11">
        <v>18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62</v>
      </c>
      <c r="J7" s="12" t="s">
        <v>63</v>
      </c>
      <c r="K7" s="13" t="s">
        <v>52</v>
      </c>
      <c r="L7" s="11" t="str">
        <f>"000122"</f>
        <v>000122</v>
      </c>
      <c r="M7" s="10">
        <v>43143</v>
      </c>
      <c r="N7" s="11" t="str">
        <f>"000059"</f>
        <v>000059</v>
      </c>
      <c r="O7" s="10">
        <v>43190</v>
      </c>
      <c r="P7" s="11" t="str">
        <f>"000168"</f>
        <v>000168</v>
      </c>
      <c r="Q7" s="10">
        <v>43190</v>
      </c>
      <c r="R7" s="11">
        <v>18</v>
      </c>
      <c r="S7" s="11" t="str">
        <f>"002084"</f>
        <v>002084</v>
      </c>
      <c r="T7" s="10">
        <v>43251</v>
      </c>
      <c r="U7" s="14">
        <v>49.757280000000002</v>
      </c>
      <c r="V7" s="14">
        <v>4.2687400000000002</v>
      </c>
      <c r="W7" s="14">
        <v>45.48854</v>
      </c>
      <c r="X7" s="11">
        <v>73</v>
      </c>
      <c r="Y7" s="10">
        <v>43257</v>
      </c>
      <c r="Z7" s="11">
        <v>8023330521</v>
      </c>
      <c r="AA7" s="12" t="s">
        <v>40</v>
      </c>
      <c r="AB7" s="11" t="s">
        <v>59</v>
      </c>
      <c r="AC7" s="12" t="s">
        <v>60</v>
      </c>
      <c r="AD7" s="11" t="s">
        <v>43</v>
      </c>
      <c r="AE7" s="12" t="s">
        <v>44</v>
      </c>
      <c r="AF7" s="14">
        <v>0.49757280000000004</v>
      </c>
      <c r="AG7" s="11" t="s">
        <v>45</v>
      </c>
    </row>
    <row r="8" spans="1:33" x14ac:dyDescent="0.2">
      <c r="A8" s="8">
        <v>2129</v>
      </c>
      <c r="B8" s="9" t="s">
        <v>56</v>
      </c>
      <c r="C8" s="10">
        <v>43265</v>
      </c>
      <c r="D8" s="11">
        <v>18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64</v>
      </c>
      <c r="J8" s="12" t="s">
        <v>65</v>
      </c>
      <c r="K8" s="13" t="s">
        <v>66</v>
      </c>
      <c r="L8" s="11" t="str">
        <f>"000018"</f>
        <v>000018</v>
      </c>
      <c r="M8" s="10">
        <v>43217</v>
      </c>
      <c r="N8" s="11" t="str">
        <f>"000027"</f>
        <v>000027</v>
      </c>
      <c r="O8" s="10">
        <v>43236</v>
      </c>
      <c r="P8" s="11" t="str">
        <f>"000027"</f>
        <v>000027</v>
      </c>
      <c r="Q8" s="10">
        <v>43236</v>
      </c>
      <c r="R8" s="11">
        <v>17</v>
      </c>
      <c r="S8" s="11" t="str">
        <f>"002430"</f>
        <v>002430</v>
      </c>
      <c r="T8" s="10">
        <v>43263</v>
      </c>
      <c r="U8" s="14">
        <v>9.9904799999999998</v>
      </c>
      <c r="V8" s="14">
        <v>1.0605</v>
      </c>
      <c r="W8" s="14">
        <v>8.9299800000000005</v>
      </c>
      <c r="X8" s="11">
        <v>84</v>
      </c>
      <c r="Y8" s="10">
        <v>43265</v>
      </c>
      <c r="Z8" s="11">
        <v>9945525730</v>
      </c>
      <c r="AA8" s="12" t="s">
        <v>67</v>
      </c>
      <c r="AB8" s="11" t="s">
        <v>68</v>
      </c>
      <c r="AC8" s="12" t="s">
        <v>69</v>
      </c>
      <c r="AD8" s="11" t="s">
        <v>70</v>
      </c>
      <c r="AE8" s="12" t="s">
        <v>71</v>
      </c>
      <c r="AF8" s="14">
        <v>9.9904800000000002E-2</v>
      </c>
      <c r="AG8" s="11" t="s">
        <v>61</v>
      </c>
    </row>
    <row r="9" spans="1:33" x14ac:dyDescent="0.2">
      <c r="A9" s="8">
        <v>2168</v>
      </c>
      <c r="B9" s="9" t="s">
        <v>56</v>
      </c>
      <c r="C9" s="10">
        <v>43266</v>
      </c>
      <c r="D9" s="11">
        <v>18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72</v>
      </c>
      <c r="J9" s="12" t="s">
        <v>73</v>
      </c>
      <c r="K9" s="13" t="s">
        <v>52</v>
      </c>
      <c r="L9" s="11" t="str">
        <f>"000016"</f>
        <v>000016</v>
      </c>
      <c r="M9" s="10">
        <v>43248</v>
      </c>
      <c r="N9" s="11" t="str">
        <f>"000009"</f>
        <v>000009</v>
      </c>
      <c r="O9" s="10">
        <v>43248</v>
      </c>
      <c r="P9" s="11" t="str">
        <f>"000023"</f>
        <v>000023</v>
      </c>
      <c r="Q9" s="10">
        <v>43248</v>
      </c>
      <c r="R9" s="11">
        <v>18</v>
      </c>
      <c r="S9" s="11" t="str">
        <f>"002606"</f>
        <v>002606</v>
      </c>
      <c r="T9" s="10">
        <v>43265</v>
      </c>
      <c r="U9" s="14">
        <v>49.989980000000003</v>
      </c>
      <c r="V9" s="14">
        <v>4.2325100000000004</v>
      </c>
      <c r="W9" s="14">
        <v>45.757469999999998</v>
      </c>
      <c r="X9" s="11">
        <v>86</v>
      </c>
      <c r="Y9" s="10">
        <v>43266</v>
      </c>
      <c r="Z9" s="11">
        <v>8023330521</v>
      </c>
      <c r="AA9" s="12" t="s">
        <v>74</v>
      </c>
      <c r="AB9" s="11" t="s">
        <v>59</v>
      </c>
      <c r="AC9" s="12" t="s">
        <v>60</v>
      </c>
      <c r="AD9" s="11" t="s">
        <v>43</v>
      </c>
      <c r="AE9" s="12" t="s">
        <v>44</v>
      </c>
      <c r="AF9" s="14">
        <v>0.49989980000000001</v>
      </c>
      <c r="AG9" s="11" t="s">
        <v>61</v>
      </c>
    </row>
    <row r="10" spans="1:33" x14ac:dyDescent="0.2">
      <c r="A10" s="8">
        <v>2476</v>
      </c>
      <c r="B10" s="9" t="s">
        <v>56</v>
      </c>
      <c r="C10" s="10">
        <v>43274</v>
      </c>
      <c r="D10" s="11">
        <v>18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75</v>
      </c>
      <c r="J10" s="12" t="s">
        <v>76</v>
      </c>
      <c r="K10" s="13" t="s">
        <v>66</v>
      </c>
      <c r="L10" s="11" t="str">
        <f>"000087"</f>
        <v>000087</v>
      </c>
      <c r="M10" s="10">
        <v>42545</v>
      </c>
      <c r="N10" s="11" t="str">
        <f>"000076"</f>
        <v>000076</v>
      </c>
      <c r="O10" s="10">
        <v>42670</v>
      </c>
      <c r="P10" s="11" t="str">
        <f>"000312"</f>
        <v>000312</v>
      </c>
      <c r="Q10" s="10">
        <v>42671</v>
      </c>
      <c r="R10" s="11">
        <v>16</v>
      </c>
      <c r="S10" s="11" t="str">
        <f>"002851"</f>
        <v>002851</v>
      </c>
      <c r="T10" s="10">
        <v>43273</v>
      </c>
      <c r="U10" s="14">
        <v>29.968969999999999</v>
      </c>
      <c r="V10" s="14">
        <v>4.4653</v>
      </c>
      <c r="W10" s="14">
        <v>25.50367</v>
      </c>
      <c r="X10" s="11">
        <v>99</v>
      </c>
      <c r="Y10" s="10">
        <v>43274</v>
      </c>
      <c r="Z10" s="11">
        <v>9742690998</v>
      </c>
      <c r="AA10" s="12" t="s">
        <v>77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0.2996897</v>
      </c>
      <c r="AG10" s="11" t="s">
        <v>45</v>
      </c>
    </row>
    <row r="11" spans="1:33" x14ac:dyDescent="0.2">
      <c r="A11" s="8">
        <v>2785</v>
      </c>
      <c r="B11" s="9" t="s">
        <v>78</v>
      </c>
      <c r="C11" s="10">
        <v>43283</v>
      </c>
      <c r="D11" s="11">
        <v>18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79</v>
      </c>
      <c r="J11" s="12" t="s">
        <v>80</v>
      </c>
      <c r="K11" s="13" t="s">
        <v>52</v>
      </c>
      <c r="L11" s="11" t="str">
        <f>"000078"</f>
        <v>000078</v>
      </c>
      <c r="M11" s="10">
        <v>42521</v>
      </c>
      <c r="N11" s="11" t="str">
        <f>"000079"</f>
        <v>000079</v>
      </c>
      <c r="O11" s="10">
        <v>42676</v>
      </c>
      <c r="P11" s="11" t="str">
        <f>"000317"</f>
        <v>000317</v>
      </c>
      <c r="Q11" s="10">
        <v>42679</v>
      </c>
      <c r="R11" s="11">
        <v>16</v>
      </c>
      <c r="S11" s="11" t="str">
        <f>"003113"</f>
        <v>003113</v>
      </c>
      <c r="T11" s="10">
        <v>43280</v>
      </c>
      <c r="U11" s="14">
        <v>19.960090000000001</v>
      </c>
      <c r="V11" s="14">
        <v>2.9626000000000001</v>
      </c>
      <c r="W11" s="14">
        <v>16.997489999999999</v>
      </c>
      <c r="X11" s="11">
        <v>106</v>
      </c>
      <c r="Y11" s="10">
        <v>43283</v>
      </c>
      <c r="Z11" s="11">
        <v>9742690998</v>
      </c>
      <c r="AA11" s="12" t="s">
        <v>77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0.1996009</v>
      </c>
      <c r="AG11" s="11" t="s">
        <v>45</v>
      </c>
    </row>
    <row r="12" spans="1:33" x14ac:dyDescent="0.2">
      <c r="A12" s="8">
        <v>3269</v>
      </c>
      <c r="B12" s="9" t="s">
        <v>78</v>
      </c>
      <c r="C12" s="10">
        <v>43297</v>
      </c>
      <c r="D12" s="11">
        <v>18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81</v>
      </c>
      <c r="J12" s="12" t="s">
        <v>82</v>
      </c>
      <c r="K12" s="13" t="s">
        <v>52</v>
      </c>
      <c r="L12" s="11" t="str">
        <f>"000134"</f>
        <v>000134</v>
      </c>
      <c r="M12" s="10">
        <v>42699</v>
      </c>
      <c r="N12" s="11" t="str">
        <f>"000081"</f>
        <v>000081</v>
      </c>
      <c r="O12" s="10">
        <v>42734</v>
      </c>
      <c r="P12" s="11" t="str">
        <f>"000337"</f>
        <v>000337</v>
      </c>
      <c r="Q12" s="10">
        <v>42735</v>
      </c>
      <c r="R12" s="11">
        <v>14</v>
      </c>
      <c r="S12" s="11" t="str">
        <f>"003671"</f>
        <v>003671</v>
      </c>
      <c r="T12" s="10">
        <v>43293</v>
      </c>
      <c r="U12" s="14">
        <v>19.99925</v>
      </c>
      <c r="V12" s="14">
        <v>3.0394100000000002</v>
      </c>
      <c r="W12" s="14">
        <v>16.95984</v>
      </c>
      <c r="X12" s="11">
        <v>125</v>
      </c>
      <c r="Y12" s="10">
        <v>43297</v>
      </c>
      <c r="Z12" s="11">
        <v>8023330521</v>
      </c>
      <c r="AA12" s="12" t="s">
        <v>40</v>
      </c>
      <c r="AB12" s="11" t="s">
        <v>83</v>
      </c>
      <c r="AC12" s="12" t="s">
        <v>84</v>
      </c>
      <c r="AD12" s="11" t="s">
        <v>43</v>
      </c>
      <c r="AE12" s="12" t="s">
        <v>44</v>
      </c>
      <c r="AF12" s="14">
        <v>0.19999249999999999</v>
      </c>
      <c r="AG12" s="11" t="s">
        <v>45</v>
      </c>
    </row>
    <row r="13" spans="1:33" x14ac:dyDescent="0.2">
      <c r="A13" s="8">
        <v>3415</v>
      </c>
      <c r="B13" s="9" t="s">
        <v>78</v>
      </c>
      <c r="C13" s="10">
        <v>43299</v>
      </c>
      <c r="D13" s="11">
        <v>18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85</v>
      </c>
      <c r="J13" s="12" t="s">
        <v>86</v>
      </c>
      <c r="K13" s="13" t="s">
        <v>66</v>
      </c>
      <c r="L13" s="11" t="str">
        <f>"000063"</f>
        <v>000063</v>
      </c>
      <c r="M13" s="10">
        <v>41236</v>
      </c>
      <c r="N13" s="11" t="str">
        <f>"083"</f>
        <v>083</v>
      </c>
      <c r="O13" s="10">
        <v>16</v>
      </c>
      <c r="P13" s="11" t="str">
        <f>"251"</f>
        <v>251</v>
      </c>
      <c r="Q13" s="10">
        <v>16</v>
      </c>
      <c r="R13" s="11">
        <v>12</v>
      </c>
      <c r="S13" s="11" t="str">
        <f>"003505"</f>
        <v>003505</v>
      </c>
      <c r="T13" s="10">
        <v>43291</v>
      </c>
      <c r="U13" s="14">
        <v>8.0107900000000001</v>
      </c>
      <c r="V13" s="14">
        <v>1.0507</v>
      </c>
      <c r="W13" s="14">
        <v>6.9600900000000001</v>
      </c>
      <c r="X13" s="11">
        <v>127</v>
      </c>
      <c r="Y13" s="10">
        <v>43299</v>
      </c>
      <c r="Z13" s="11">
        <v>9845267052</v>
      </c>
      <c r="AA13" s="12" t="s">
        <v>87</v>
      </c>
      <c r="AB13" s="11" t="s">
        <v>88</v>
      </c>
      <c r="AC13" s="12" t="s">
        <v>89</v>
      </c>
      <c r="AD13" s="11" t="s">
        <v>70</v>
      </c>
      <c r="AE13" s="12" t="s">
        <v>71</v>
      </c>
      <c r="AF13" s="14">
        <v>8.0107899999999996E-2</v>
      </c>
      <c r="AG13" s="11" t="s">
        <v>45</v>
      </c>
    </row>
    <row r="14" spans="1:33" x14ac:dyDescent="0.2">
      <c r="A14" s="8">
        <v>3658</v>
      </c>
      <c r="B14" s="9" t="s">
        <v>78</v>
      </c>
      <c r="C14" s="10">
        <v>43300</v>
      </c>
      <c r="D14" s="11">
        <v>18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90</v>
      </c>
      <c r="J14" s="12" t="s">
        <v>91</v>
      </c>
      <c r="K14" s="13" t="s">
        <v>52</v>
      </c>
      <c r="L14" s="11" t="str">
        <f>"000045"</f>
        <v>000045</v>
      </c>
      <c r="M14" s="10">
        <v>43284</v>
      </c>
      <c r="N14" s="11" t="str">
        <f>"000026"</f>
        <v>000026</v>
      </c>
      <c r="O14" s="10">
        <v>43284</v>
      </c>
      <c r="P14" s="11" t="str">
        <f>"000050"</f>
        <v>000050</v>
      </c>
      <c r="Q14" s="10">
        <v>43284</v>
      </c>
      <c r="R14" s="11">
        <v>18</v>
      </c>
      <c r="S14" s="11" t="str">
        <f>"003898"</f>
        <v>003898</v>
      </c>
      <c r="T14" s="10">
        <v>43299</v>
      </c>
      <c r="U14" s="14">
        <v>49.957239999999999</v>
      </c>
      <c r="V14" s="14">
        <v>4.3952</v>
      </c>
      <c r="W14" s="14">
        <v>45.562040000000003</v>
      </c>
      <c r="X14" s="11">
        <v>130</v>
      </c>
      <c r="Y14" s="10">
        <v>43300</v>
      </c>
      <c r="Z14" s="11">
        <v>8023330521</v>
      </c>
      <c r="AA14" s="12" t="s">
        <v>40</v>
      </c>
      <c r="AB14" s="11" t="s">
        <v>59</v>
      </c>
      <c r="AC14" s="12" t="s">
        <v>60</v>
      </c>
      <c r="AD14" s="11" t="s">
        <v>43</v>
      </c>
      <c r="AE14" s="12" t="s">
        <v>44</v>
      </c>
      <c r="AF14" s="14">
        <v>0.49957239999999997</v>
      </c>
      <c r="AG14" s="11" t="s">
        <v>61</v>
      </c>
    </row>
    <row r="15" spans="1:33" x14ac:dyDescent="0.2">
      <c r="A15" s="8">
        <v>3659</v>
      </c>
      <c r="B15" s="9" t="s">
        <v>78</v>
      </c>
      <c r="C15" s="10">
        <v>43300</v>
      </c>
      <c r="D15" s="11">
        <v>18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92</v>
      </c>
      <c r="J15" s="12" t="s">
        <v>93</v>
      </c>
      <c r="K15" s="13" t="s">
        <v>66</v>
      </c>
      <c r="L15" s="11" t="str">
        <f>"000107"</f>
        <v>000107</v>
      </c>
      <c r="M15" s="10">
        <v>43131</v>
      </c>
      <c r="N15" s="11" t="str">
        <f>"000037"</f>
        <v>000037</v>
      </c>
      <c r="O15" s="10">
        <v>43132</v>
      </c>
      <c r="P15" s="11" t="str">
        <f>"000111"</f>
        <v>000111</v>
      </c>
      <c r="Q15" s="10">
        <v>43132</v>
      </c>
      <c r="R15" s="11">
        <v>17</v>
      </c>
      <c r="S15" s="11" t="str">
        <f>"009798"</f>
        <v>009798</v>
      </c>
      <c r="T15" s="10">
        <v>43147</v>
      </c>
      <c r="U15" s="14">
        <v>3.9544600000000001</v>
      </c>
      <c r="V15" s="14">
        <v>4.3490000000000001E-2</v>
      </c>
      <c r="W15" s="14">
        <v>3.9109699999999998</v>
      </c>
      <c r="X15" s="11">
        <v>133</v>
      </c>
      <c r="Y15" s="10">
        <v>43300</v>
      </c>
      <c r="Z15" s="11">
        <v>8023330521</v>
      </c>
      <c r="AA15" s="12" t="s">
        <v>94</v>
      </c>
      <c r="AB15" s="11" t="s">
        <v>68</v>
      </c>
      <c r="AC15" s="12" t="s">
        <v>69</v>
      </c>
      <c r="AD15" s="11" t="s">
        <v>43</v>
      </c>
      <c r="AE15" s="12" t="s">
        <v>44</v>
      </c>
      <c r="AF15" s="14">
        <v>3.9544599999999999E-2</v>
      </c>
      <c r="AG15" s="11" t="s">
        <v>45</v>
      </c>
    </row>
    <row r="16" spans="1:33" x14ac:dyDescent="0.2">
      <c r="A16" s="8">
        <v>3695</v>
      </c>
      <c r="B16" s="9" t="s">
        <v>78</v>
      </c>
      <c r="C16" s="10">
        <v>43301</v>
      </c>
      <c r="D16" s="11">
        <v>18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95</v>
      </c>
      <c r="J16" s="12" t="s">
        <v>96</v>
      </c>
      <c r="K16" s="13" t="s">
        <v>66</v>
      </c>
      <c r="L16" s="11" t="str">
        <f>"000015"</f>
        <v>000015</v>
      </c>
      <c r="M16" s="10">
        <v>42947</v>
      </c>
      <c r="N16" s="11" t="str">
        <f>"000176"</f>
        <v>000176</v>
      </c>
      <c r="O16" s="10">
        <v>43152</v>
      </c>
      <c r="P16" s="11" t="str">
        <f>"000165"</f>
        <v>000165</v>
      </c>
      <c r="Q16" s="10">
        <v>43152</v>
      </c>
      <c r="R16" s="11">
        <v>16</v>
      </c>
      <c r="S16" s="11" t="str">
        <f>"004002"</f>
        <v>004002</v>
      </c>
      <c r="T16" s="10">
        <v>43300</v>
      </c>
      <c r="U16" s="14">
        <v>14.96393</v>
      </c>
      <c r="V16" s="14">
        <v>1.50678</v>
      </c>
      <c r="W16" s="14">
        <v>13.45715</v>
      </c>
      <c r="X16" s="11">
        <v>134</v>
      </c>
      <c r="Y16" s="10">
        <v>43301</v>
      </c>
      <c r="Z16" s="11">
        <v>9901967054</v>
      </c>
      <c r="AA16" s="12" t="s">
        <v>97</v>
      </c>
      <c r="AB16" s="11" t="s">
        <v>88</v>
      </c>
      <c r="AC16" s="12" t="s">
        <v>89</v>
      </c>
      <c r="AD16" s="11" t="s">
        <v>70</v>
      </c>
      <c r="AE16" s="12" t="s">
        <v>71</v>
      </c>
      <c r="AF16" s="14">
        <v>0.1496393</v>
      </c>
      <c r="AG16" s="11" t="s">
        <v>45</v>
      </c>
    </row>
    <row r="17" spans="1:33" x14ac:dyDescent="0.2">
      <c r="A17" s="8">
        <v>3696</v>
      </c>
      <c r="B17" s="9" t="s">
        <v>78</v>
      </c>
      <c r="C17" s="10">
        <v>43301</v>
      </c>
      <c r="D17" s="11">
        <v>18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95</v>
      </c>
      <c r="J17" s="12" t="s">
        <v>96</v>
      </c>
      <c r="K17" s="13" t="s">
        <v>66</v>
      </c>
      <c r="L17" s="11" t="str">
        <f>"000015"</f>
        <v>000015</v>
      </c>
      <c r="M17" s="10">
        <v>42947</v>
      </c>
      <c r="N17" s="11" t="str">
        <f>"000176"</f>
        <v>000176</v>
      </c>
      <c r="O17" s="10">
        <v>43152</v>
      </c>
      <c r="P17" s="11" t="str">
        <f>"000165"</f>
        <v>000165</v>
      </c>
      <c r="Q17" s="10">
        <v>43152</v>
      </c>
      <c r="R17" s="11">
        <v>16</v>
      </c>
      <c r="S17" s="11" t="str">
        <f>"004002"</f>
        <v>004002</v>
      </c>
      <c r="T17" s="10">
        <v>43300</v>
      </c>
      <c r="U17" s="14">
        <v>15.04851</v>
      </c>
      <c r="V17" s="14">
        <v>1.21305</v>
      </c>
      <c r="W17" s="14">
        <v>13.835459999999999</v>
      </c>
      <c r="X17" s="11">
        <v>134</v>
      </c>
      <c r="Y17" s="10">
        <v>43301</v>
      </c>
      <c r="Z17" s="11">
        <v>9901967054</v>
      </c>
      <c r="AA17" s="12" t="s">
        <v>97</v>
      </c>
      <c r="AB17" s="11" t="s">
        <v>88</v>
      </c>
      <c r="AC17" s="12" t="s">
        <v>89</v>
      </c>
      <c r="AD17" s="11" t="s">
        <v>70</v>
      </c>
      <c r="AE17" s="12" t="s">
        <v>71</v>
      </c>
      <c r="AF17" s="14">
        <v>0.15048510000000001</v>
      </c>
      <c r="AG17" s="11" t="s">
        <v>45</v>
      </c>
    </row>
    <row r="18" spans="1:33" x14ac:dyDescent="0.2">
      <c r="A18" s="8">
        <v>4261</v>
      </c>
      <c r="B18" s="9" t="s">
        <v>98</v>
      </c>
      <c r="C18" s="10">
        <v>43315</v>
      </c>
      <c r="D18" s="11">
        <v>18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99</v>
      </c>
      <c r="J18" s="12" t="s">
        <v>100</v>
      </c>
      <c r="K18" s="13" t="s">
        <v>39</v>
      </c>
      <c r="L18" s="11" t="str">
        <f>"000155"</f>
        <v>000155</v>
      </c>
      <c r="M18" s="10">
        <v>42718</v>
      </c>
      <c r="N18" s="11" t="str">
        <f>"000102"</f>
        <v>000102</v>
      </c>
      <c r="O18" s="10">
        <v>42794</v>
      </c>
      <c r="P18" s="11" t="str">
        <f>"000399"</f>
        <v>000399</v>
      </c>
      <c r="Q18" s="10">
        <v>42794</v>
      </c>
      <c r="R18" s="11">
        <v>17</v>
      </c>
      <c r="S18" s="11" t="str">
        <f>"004518"</f>
        <v>004518</v>
      </c>
      <c r="T18" s="10">
        <v>43309</v>
      </c>
      <c r="U18" s="14">
        <v>6.23332</v>
      </c>
      <c r="V18" s="14">
        <v>0.78563000000000005</v>
      </c>
      <c r="W18" s="14">
        <v>5.4476899999999997</v>
      </c>
      <c r="X18" s="11">
        <v>152</v>
      </c>
      <c r="Y18" s="10">
        <v>43315</v>
      </c>
      <c r="Z18" s="11">
        <v>8023330521</v>
      </c>
      <c r="AA18" s="12" t="s">
        <v>40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v>6.2333199999999998E-2</v>
      </c>
      <c r="AG18" s="11" t="s">
        <v>45</v>
      </c>
    </row>
    <row r="19" spans="1:33" x14ac:dyDescent="0.2">
      <c r="A19" s="8">
        <v>4377</v>
      </c>
      <c r="B19" s="9" t="s">
        <v>98</v>
      </c>
      <c r="C19" s="10">
        <v>43318</v>
      </c>
      <c r="D19" s="11">
        <v>18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101</v>
      </c>
      <c r="J19" s="12" t="s">
        <v>102</v>
      </c>
      <c r="K19" s="13" t="s">
        <v>66</v>
      </c>
      <c r="L19" s="11" t="str">
        <f>"000147"</f>
        <v>000147</v>
      </c>
      <c r="M19" s="10">
        <v>42704</v>
      </c>
      <c r="N19" s="11" t="str">
        <f>"000121"</f>
        <v>000121</v>
      </c>
      <c r="O19" s="10">
        <v>42794</v>
      </c>
      <c r="P19" s="11" t="str">
        <f>"000425"</f>
        <v>000425</v>
      </c>
      <c r="Q19" s="10">
        <v>42794</v>
      </c>
      <c r="R19" s="11">
        <v>17</v>
      </c>
      <c r="S19" s="11" t="str">
        <f>"004658"</f>
        <v>004658</v>
      </c>
      <c r="T19" s="10">
        <v>43313</v>
      </c>
      <c r="U19" s="14">
        <v>19.978149999999999</v>
      </c>
      <c r="V19" s="14">
        <v>2.556</v>
      </c>
      <c r="W19" s="14">
        <v>17.422149999999998</v>
      </c>
      <c r="X19" s="11">
        <v>159</v>
      </c>
      <c r="Y19" s="10">
        <v>43318</v>
      </c>
      <c r="Z19" s="11">
        <v>9900080522</v>
      </c>
      <c r="AA19" s="12" t="s">
        <v>77</v>
      </c>
      <c r="AB19" s="11" t="s">
        <v>103</v>
      </c>
      <c r="AC19" s="12" t="s">
        <v>104</v>
      </c>
      <c r="AD19" s="11" t="s">
        <v>43</v>
      </c>
      <c r="AE19" s="12" t="s">
        <v>44</v>
      </c>
      <c r="AF19" s="14">
        <v>0.1997815</v>
      </c>
      <c r="AG19" s="11" t="s">
        <v>45</v>
      </c>
    </row>
    <row r="20" spans="1:33" x14ac:dyDescent="0.2">
      <c r="A20" s="8">
        <v>4378</v>
      </c>
      <c r="B20" s="9" t="s">
        <v>98</v>
      </c>
      <c r="C20" s="10">
        <v>43318</v>
      </c>
      <c r="D20" s="11">
        <v>18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105</v>
      </c>
      <c r="J20" s="12" t="s">
        <v>106</v>
      </c>
      <c r="K20" s="13" t="s">
        <v>66</v>
      </c>
      <c r="L20" s="11" t="str">
        <f>"000145"</f>
        <v>000145</v>
      </c>
      <c r="M20" s="10">
        <v>42916</v>
      </c>
      <c r="N20" s="11" t="str">
        <f>"000122"</f>
        <v>000122</v>
      </c>
      <c r="O20" s="10">
        <v>42794</v>
      </c>
      <c r="P20" s="11" t="str">
        <f>"000426"</f>
        <v>000426</v>
      </c>
      <c r="Q20" s="10">
        <v>42794</v>
      </c>
      <c r="R20" s="11">
        <v>17</v>
      </c>
      <c r="S20" s="11" t="str">
        <f>"004660"</f>
        <v>004660</v>
      </c>
      <c r="T20" s="10">
        <v>43313</v>
      </c>
      <c r="U20" s="14">
        <v>19.97899</v>
      </c>
      <c r="V20" s="14">
        <v>2.5572499999999998</v>
      </c>
      <c r="W20" s="14">
        <v>17.42174</v>
      </c>
      <c r="X20" s="11">
        <v>159</v>
      </c>
      <c r="Y20" s="10">
        <v>43318</v>
      </c>
      <c r="Z20" s="11">
        <v>9900080522</v>
      </c>
      <c r="AA20" s="12" t="s">
        <v>77</v>
      </c>
      <c r="AB20" s="11" t="s">
        <v>103</v>
      </c>
      <c r="AC20" s="12" t="s">
        <v>104</v>
      </c>
      <c r="AD20" s="11" t="s">
        <v>43</v>
      </c>
      <c r="AE20" s="12" t="s">
        <v>44</v>
      </c>
      <c r="AF20" s="14">
        <v>0.19978989999999999</v>
      </c>
      <c r="AG20" s="11" t="s">
        <v>45</v>
      </c>
    </row>
    <row r="21" spans="1:33" x14ac:dyDescent="0.2">
      <c r="A21" s="8">
        <v>4379</v>
      </c>
      <c r="B21" s="9" t="s">
        <v>98</v>
      </c>
      <c r="C21" s="10">
        <v>43318</v>
      </c>
      <c r="D21" s="11">
        <v>18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107</v>
      </c>
      <c r="J21" s="12" t="s">
        <v>108</v>
      </c>
      <c r="K21" s="13" t="s">
        <v>66</v>
      </c>
      <c r="L21" s="11" t="str">
        <f>"000146"</f>
        <v>000146</v>
      </c>
      <c r="M21" s="10">
        <v>42704</v>
      </c>
      <c r="N21" s="11" t="str">
        <f>"000123"</f>
        <v>000123</v>
      </c>
      <c r="O21" s="10">
        <v>42794</v>
      </c>
      <c r="P21" s="11" t="str">
        <f>"000427"</f>
        <v>000427</v>
      </c>
      <c r="Q21" s="10">
        <v>42794</v>
      </c>
      <c r="R21" s="11">
        <v>17</v>
      </c>
      <c r="S21" s="11" t="str">
        <f>"004662"</f>
        <v>004662</v>
      </c>
      <c r="T21" s="10">
        <v>43313</v>
      </c>
      <c r="U21" s="14">
        <v>19.989640000000001</v>
      </c>
      <c r="V21" s="14">
        <v>2.5572499999999998</v>
      </c>
      <c r="W21" s="14">
        <v>17.432390000000002</v>
      </c>
      <c r="X21" s="11">
        <v>159</v>
      </c>
      <c r="Y21" s="10">
        <v>43318</v>
      </c>
      <c r="Z21" s="11">
        <v>9900080522</v>
      </c>
      <c r="AA21" s="12" t="s">
        <v>77</v>
      </c>
      <c r="AB21" s="11" t="s">
        <v>103</v>
      </c>
      <c r="AC21" s="12" t="s">
        <v>104</v>
      </c>
      <c r="AD21" s="11" t="s">
        <v>43</v>
      </c>
      <c r="AE21" s="12" t="s">
        <v>44</v>
      </c>
      <c r="AF21" s="14">
        <v>0.1998964</v>
      </c>
      <c r="AG21" s="11" t="s">
        <v>45</v>
      </c>
    </row>
    <row r="22" spans="1:33" x14ac:dyDescent="0.2">
      <c r="A22" s="8">
        <v>4645</v>
      </c>
      <c r="B22" s="9" t="s">
        <v>98</v>
      </c>
      <c r="C22" s="10">
        <v>43320</v>
      </c>
      <c r="D22" s="11">
        <v>18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109</v>
      </c>
      <c r="J22" s="12" t="s">
        <v>110</v>
      </c>
      <c r="K22" s="13" t="s">
        <v>52</v>
      </c>
      <c r="L22" s="11" t="str">
        <f>"000046"</f>
        <v>000046</v>
      </c>
      <c r="M22" s="10">
        <v>43284</v>
      </c>
      <c r="N22" s="11" t="str">
        <f>"000027"</f>
        <v>000027</v>
      </c>
      <c r="O22" s="10">
        <v>43284</v>
      </c>
      <c r="P22" s="11" t="str">
        <f>"000051"</f>
        <v>000051</v>
      </c>
      <c r="Q22" s="10">
        <v>43284</v>
      </c>
      <c r="R22" s="11">
        <v>18</v>
      </c>
      <c r="S22" s="11" t="str">
        <f>"004966"</f>
        <v>004966</v>
      </c>
      <c r="T22" s="10">
        <v>43320</v>
      </c>
      <c r="U22" s="14">
        <v>49.902380000000001</v>
      </c>
      <c r="V22" s="14">
        <v>4.3815</v>
      </c>
      <c r="W22" s="14">
        <v>45.520879999999998</v>
      </c>
      <c r="X22" s="11">
        <v>164</v>
      </c>
      <c r="Y22" s="10">
        <v>43320</v>
      </c>
      <c r="Z22" s="11">
        <v>8123404925</v>
      </c>
      <c r="AA22" s="12" t="s">
        <v>77</v>
      </c>
      <c r="AB22" s="11" t="s">
        <v>59</v>
      </c>
      <c r="AC22" s="12" t="s">
        <v>60</v>
      </c>
      <c r="AD22" s="11" t="s">
        <v>43</v>
      </c>
      <c r="AE22" s="12" t="s">
        <v>44</v>
      </c>
      <c r="AF22" s="14">
        <v>0.49902380000000002</v>
      </c>
      <c r="AG22" s="11" t="s">
        <v>61</v>
      </c>
    </row>
    <row r="23" spans="1:33" x14ac:dyDescent="0.2">
      <c r="A23" s="8">
        <v>4734</v>
      </c>
      <c r="B23" s="9" t="s">
        <v>98</v>
      </c>
      <c r="C23" s="10">
        <v>43326</v>
      </c>
      <c r="D23" s="11">
        <v>18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111</v>
      </c>
      <c r="J23" s="12" t="s">
        <v>112</v>
      </c>
      <c r="K23" s="13" t="s">
        <v>52</v>
      </c>
      <c r="L23" s="11" t="str">
        <f>"000193"</f>
        <v>000193</v>
      </c>
      <c r="M23" s="10">
        <v>42776</v>
      </c>
      <c r="N23" s="11" t="str">
        <f>"100119"</f>
        <v>100119</v>
      </c>
      <c r="O23" s="10">
        <v>42794</v>
      </c>
      <c r="P23" s="11" t="str">
        <f>"000413"</f>
        <v>000413</v>
      </c>
      <c r="Q23" s="10">
        <v>42794</v>
      </c>
      <c r="R23" s="11">
        <v>17</v>
      </c>
      <c r="S23" s="11" t="str">
        <f>"004906"</f>
        <v>004906</v>
      </c>
      <c r="T23" s="10">
        <v>43318</v>
      </c>
      <c r="U23" s="14">
        <v>9.44984</v>
      </c>
      <c r="V23" s="14">
        <v>0.65634999999999999</v>
      </c>
      <c r="W23" s="14">
        <v>8.7934900000000003</v>
      </c>
      <c r="X23" s="11">
        <v>170</v>
      </c>
      <c r="Y23" s="10">
        <v>43326</v>
      </c>
      <c r="Z23" s="11">
        <v>8023330521</v>
      </c>
      <c r="AA23" s="12" t="s">
        <v>113</v>
      </c>
      <c r="AB23" s="11" t="s">
        <v>54</v>
      </c>
      <c r="AC23" s="12" t="s">
        <v>55</v>
      </c>
      <c r="AD23" s="11" t="s">
        <v>43</v>
      </c>
      <c r="AE23" s="12" t="s">
        <v>44</v>
      </c>
      <c r="AF23" s="14">
        <v>9.4498399999999996E-2</v>
      </c>
      <c r="AG23" s="11" t="s">
        <v>45</v>
      </c>
    </row>
    <row r="24" spans="1:33" x14ac:dyDescent="0.2">
      <c r="A24" s="8">
        <v>4939</v>
      </c>
      <c r="B24" s="9" t="s">
        <v>98</v>
      </c>
      <c r="C24" s="10">
        <v>43330</v>
      </c>
      <c r="D24" s="11">
        <v>18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114</v>
      </c>
      <c r="J24" s="12" t="s">
        <v>115</v>
      </c>
      <c r="K24" s="13" t="s">
        <v>116</v>
      </c>
      <c r="L24" s="11" t="str">
        <f>"000061"</f>
        <v>000061</v>
      </c>
      <c r="M24" s="10">
        <v>42497</v>
      </c>
      <c r="N24" s="11" t="str">
        <f>"000100"</f>
        <v>000100</v>
      </c>
      <c r="O24" s="10">
        <v>42825</v>
      </c>
      <c r="P24" s="11" t="str">
        <f>"000472"</f>
        <v>000472</v>
      </c>
      <c r="Q24" s="10">
        <v>42825</v>
      </c>
      <c r="R24" s="11">
        <v>16</v>
      </c>
      <c r="S24" s="11" t="str">
        <f>"005190"</f>
        <v>005190</v>
      </c>
      <c r="T24" s="10">
        <v>43326</v>
      </c>
      <c r="U24" s="14">
        <v>39.923490000000001</v>
      </c>
      <c r="V24" s="14">
        <v>3.0490699999999999</v>
      </c>
      <c r="W24" s="14">
        <v>36.874420000000001</v>
      </c>
      <c r="X24" s="11">
        <v>174</v>
      </c>
      <c r="Y24" s="10">
        <v>43330</v>
      </c>
      <c r="Z24" s="11">
        <v>8023330521</v>
      </c>
      <c r="AA24" s="12" t="s">
        <v>117</v>
      </c>
      <c r="AB24" s="11" t="s">
        <v>118</v>
      </c>
      <c r="AC24" s="12" t="s">
        <v>119</v>
      </c>
      <c r="AD24" s="11" t="s">
        <v>43</v>
      </c>
      <c r="AE24" s="12" t="s">
        <v>44</v>
      </c>
      <c r="AF24" s="14">
        <v>0.3992349</v>
      </c>
      <c r="AG24" s="11" t="s">
        <v>45</v>
      </c>
    </row>
    <row r="25" spans="1:33" x14ac:dyDescent="0.2">
      <c r="A25" s="8">
        <v>4940</v>
      </c>
      <c r="B25" s="9" t="s">
        <v>98</v>
      </c>
      <c r="C25" s="10">
        <v>43330</v>
      </c>
      <c r="D25" s="11">
        <v>18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120</v>
      </c>
      <c r="J25" s="12" t="s">
        <v>121</v>
      </c>
      <c r="K25" s="13" t="s">
        <v>116</v>
      </c>
      <c r="L25" s="11" t="str">
        <f>"000062"</f>
        <v>000062</v>
      </c>
      <c r="M25" s="10">
        <v>42497</v>
      </c>
      <c r="N25" s="11" t="str">
        <f>"000101"</f>
        <v>000101</v>
      </c>
      <c r="O25" s="10">
        <v>42766</v>
      </c>
      <c r="P25" s="11" t="str">
        <f>"000473"</f>
        <v>000473</v>
      </c>
      <c r="Q25" s="10">
        <v>42825</v>
      </c>
      <c r="R25" s="11">
        <v>16</v>
      </c>
      <c r="S25" s="11" t="str">
        <f>"005191"</f>
        <v>005191</v>
      </c>
      <c r="T25" s="10">
        <v>43326</v>
      </c>
      <c r="U25" s="14">
        <v>34.448189999999997</v>
      </c>
      <c r="V25" s="14">
        <v>2.56528</v>
      </c>
      <c r="W25" s="14">
        <v>31.882909999999999</v>
      </c>
      <c r="X25" s="11">
        <v>174</v>
      </c>
      <c r="Y25" s="10">
        <v>43330</v>
      </c>
      <c r="Z25" s="11">
        <v>8023330521</v>
      </c>
      <c r="AA25" s="12" t="s">
        <v>122</v>
      </c>
      <c r="AB25" s="11" t="s">
        <v>118</v>
      </c>
      <c r="AC25" s="12" t="s">
        <v>119</v>
      </c>
      <c r="AD25" s="11" t="s">
        <v>43</v>
      </c>
      <c r="AE25" s="12" t="s">
        <v>44</v>
      </c>
      <c r="AF25" s="14">
        <v>0.34448189999999995</v>
      </c>
      <c r="AG25" s="11" t="s">
        <v>45</v>
      </c>
    </row>
    <row r="26" spans="1:33" x14ac:dyDescent="0.2">
      <c r="A26" s="8">
        <v>5005</v>
      </c>
      <c r="B26" s="9" t="s">
        <v>98</v>
      </c>
      <c r="C26" s="10">
        <v>43333</v>
      </c>
      <c r="D26" s="11">
        <v>18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123</v>
      </c>
      <c r="J26" s="12" t="s">
        <v>124</v>
      </c>
      <c r="K26" s="13" t="s">
        <v>39</v>
      </c>
      <c r="L26" s="11" t="str">
        <f>"000060"</f>
        <v>000060</v>
      </c>
      <c r="M26" s="10">
        <v>43057</v>
      </c>
      <c r="N26" s="11" t="str">
        <f>"000011"</f>
        <v>000011</v>
      </c>
      <c r="O26" s="10">
        <v>43057</v>
      </c>
      <c r="P26" s="11" t="str">
        <f>"000053"</f>
        <v>000053</v>
      </c>
      <c r="Q26" s="10">
        <v>43058</v>
      </c>
      <c r="R26" s="11">
        <v>17</v>
      </c>
      <c r="S26" s="11" t="str">
        <f>"005284"</f>
        <v>005284</v>
      </c>
      <c r="T26" s="10">
        <v>43332</v>
      </c>
      <c r="U26" s="14">
        <v>14.96457</v>
      </c>
      <c r="V26" s="14">
        <v>1.2125300000000001</v>
      </c>
      <c r="W26" s="14">
        <v>13.752039999999999</v>
      </c>
      <c r="X26" s="11">
        <v>176</v>
      </c>
      <c r="Y26" s="10">
        <v>43333</v>
      </c>
      <c r="Z26" s="11">
        <v>7899190325</v>
      </c>
      <c r="AA26" s="12" t="s">
        <v>125</v>
      </c>
      <c r="AB26" s="11" t="s">
        <v>41</v>
      </c>
      <c r="AC26" s="12" t="s">
        <v>42</v>
      </c>
      <c r="AD26" s="11" t="s">
        <v>43</v>
      </c>
      <c r="AE26" s="12" t="s">
        <v>44</v>
      </c>
      <c r="AF26" s="14">
        <v>0.14964569999999999</v>
      </c>
      <c r="AG26" s="11" t="s">
        <v>45</v>
      </c>
    </row>
    <row r="27" spans="1:33" x14ac:dyDescent="0.2">
      <c r="A27" s="8">
        <v>5006</v>
      </c>
      <c r="B27" s="9" t="s">
        <v>98</v>
      </c>
      <c r="C27" s="10">
        <v>43333</v>
      </c>
      <c r="D27" s="11">
        <v>18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126</v>
      </c>
      <c r="J27" s="12" t="s">
        <v>127</v>
      </c>
      <c r="K27" s="13" t="s">
        <v>39</v>
      </c>
      <c r="L27" s="11" t="str">
        <f>"000069"</f>
        <v>000069</v>
      </c>
      <c r="M27" s="10">
        <v>42916</v>
      </c>
      <c r="N27" s="11" t="str">
        <f>"000014"</f>
        <v>000014</v>
      </c>
      <c r="O27" s="10">
        <v>43064</v>
      </c>
      <c r="P27" s="11" t="str">
        <f>"000059"</f>
        <v>000059</v>
      </c>
      <c r="Q27" s="10">
        <v>43064</v>
      </c>
      <c r="R27" s="11">
        <v>17</v>
      </c>
      <c r="S27" s="11" t="str">
        <f>"005290"</f>
        <v>005290</v>
      </c>
      <c r="T27" s="10">
        <v>43332</v>
      </c>
      <c r="U27" s="14">
        <v>24.994219999999999</v>
      </c>
      <c r="V27" s="14">
        <v>2.0245899999999999</v>
      </c>
      <c r="W27" s="14">
        <v>22.969629999999999</v>
      </c>
      <c r="X27" s="11">
        <v>176</v>
      </c>
      <c r="Y27" s="10">
        <v>43333</v>
      </c>
      <c r="Z27" s="11">
        <v>8023330521</v>
      </c>
      <c r="AA27" s="12" t="s">
        <v>40</v>
      </c>
      <c r="AB27" s="11" t="s">
        <v>41</v>
      </c>
      <c r="AC27" s="12" t="s">
        <v>42</v>
      </c>
      <c r="AD27" s="11" t="s">
        <v>43</v>
      </c>
      <c r="AE27" s="12" t="s">
        <v>44</v>
      </c>
      <c r="AF27" s="14">
        <v>0.24994219999999998</v>
      </c>
      <c r="AG27" s="11" t="s">
        <v>45</v>
      </c>
    </row>
    <row r="28" spans="1:33" x14ac:dyDescent="0.2">
      <c r="A28" s="8">
        <v>5007</v>
      </c>
      <c r="B28" s="9" t="s">
        <v>98</v>
      </c>
      <c r="C28" s="10">
        <v>43333</v>
      </c>
      <c r="D28" s="11">
        <v>18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128</v>
      </c>
      <c r="J28" s="12" t="s">
        <v>129</v>
      </c>
      <c r="K28" s="13" t="s">
        <v>39</v>
      </c>
      <c r="L28" s="11" t="str">
        <f>"000070"</f>
        <v>000070</v>
      </c>
      <c r="M28" s="10">
        <v>42916</v>
      </c>
      <c r="N28" s="11" t="str">
        <f>"000015"</f>
        <v>000015</v>
      </c>
      <c r="O28" s="10">
        <v>43064</v>
      </c>
      <c r="P28" s="11" t="str">
        <f>"000060"</f>
        <v>000060</v>
      </c>
      <c r="Q28" s="10">
        <v>43064</v>
      </c>
      <c r="R28" s="11">
        <v>17</v>
      </c>
      <c r="S28" s="11" t="str">
        <f>"005291"</f>
        <v>005291</v>
      </c>
      <c r="T28" s="10">
        <v>43332</v>
      </c>
      <c r="U28" s="14">
        <v>24.994219999999999</v>
      </c>
      <c r="V28" s="14">
        <v>2.0246200000000001</v>
      </c>
      <c r="W28" s="14">
        <v>22.9696</v>
      </c>
      <c r="X28" s="11">
        <v>176</v>
      </c>
      <c r="Y28" s="10">
        <v>43333</v>
      </c>
      <c r="Z28" s="11">
        <v>8023330521</v>
      </c>
      <c r="AA28" s="12" t="s">
        <v>40</v>
      </c>
      <c r="AB28" s="11" t="s">
        <v>41</v>
      </c>
      <c r="AC28" s="12" t="s">
        <v>42</v>
      </c>
      <c r="AD28" s="11" t="s">
        <v>43</v>
      </c>
      <c r="AE28" s="12" t="s">
        <v>44</v>
      </c>
      <c r="AF28" s="14">
        <v>0.24994219999999998</v>
      </c>
      <c r="AG28" s="11" t="s">
        <v>45</v>
      </c>
    </row>
    <row r="29" spans="1:33" x14ac:dyDescent="0.2">
      <c r="A29" s="8">
        <v>5534</v>
      </c>
      <c r="B29" s="9" t="s">
        <v>130</v>
      </c>
      <c r="C29" s="10">
        <v>43362</v>
      </c>
      <c r="D29" s="11">
        <v>18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131</v>
      </c>
      <c r="J29" s="12" t="s">
        <v>132</v>
      </c>
      <c r="K29" s="13" t="s">
        <v>52</v>
      </c>
      <c r="L29" s="11" t="str">
        <f>"000118"</f>
        <v>000118</v>
      </c>
      <c r="M29" s="10">
        <v>42671</v>
      </c>
      <c r="N29" s="11" t="str">
        <f>"000127"</f>
        <v>000127</v>
      </c>
      <c r="O29" s="10">
        <v>42824</v>
      </c>
      <c r="P29" s="11" t="str">
        <f>"000457"</f>
        <v>000457</v>
      </c>
      <c r="Q29" s="10">
        <v>42825</v>
      </c>
      <c r="R29" s="11">
        <v>16</v>
      </c>
      <c r="S29" s="11" t="str">
        <f>"005596"</f>
        <v>005596</v>
      </c>
      <c r="T29" s="10">
        <v>43347</v>
      </c>
      <c r="U29" s="14">
        <v>19.8261</v>
      </c>
      <c r="V29" s="14">
        <v>1.72675</v>
      </c>
      <c r="W29" s="14">
        <v>18.099350000000001</v>
      </c>
      <c r="X29" s="11">
        <v>207</v>
      </c>
      <c r="Y29" s="10">
        <v>43362</v>
      </c>
      <c r="Z29" s="11">
        <v>8023330521</v>
      </c>
      <c r="AA29" s="12" t="s">
        <v>133</v>
      </c>
      <c r="AB29" s="11" t="s">
        <v>54</v>
      </c>
      <c r="AC29" s="12" t="s">
        <v>55</v>
      </c>
      <c r="AD29" s="11" t="s">
        <v>43</v>
      </c>
      <c r="AE29" s="12" t="s">
        <v>44</v>
      </c>
      <c r="AF29" s="14">
        <f t="shared" ref="AF29:AF48" si="0">U29/100</f>
        <v>0.19826099999999999</v>
      </c>
      <c r="AG29" s="11" t="s">
        <v>45</v>
      </c>
    </row>
    <row r="30" spans="1:33" x14ac:dyDescent="0.2">
      <c r="A30" s="8">
        <v>6845</v>
      </c>
      <c r="B30" s="9" t="s">
        <v>134</v>
      </c>
      <c r="C30" s="10">
        <v>43398</v>
      </c>
      <c r="D30" s="11">
        <v>18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135</v>
      </c>
      <c r="J30" s="12" t="s">
        <v>136</v>
      </c>
      <c r="K30" s="13" t="s">
        <v>137</v>
      </c>
      <c r="L30" s="11" t="str">
        <f>"000123"</f>
        <v>000123</v>
      </c>
      <c r="M30" s="10">
        <v>43143</v>
      </c>
      <c r="N30" s="11" t="str">
        <f>"000043"</f>
        <v>000043</v>
      </c>
      <c r="O30" s="10">
        <v>43143</v>
      </c>
      <c r="P30" s="11" t="str">
        <f>"000117"</f>
        <v>000117</v>
      </c>
      <c r="Q30" s="10">
        <v>43143</v>
      </c>
      <c r="R30" s="11">
        <v>11</v>
      </c>
      <c r="S30" s="11" t="str">
        <f>"006749"</f>
        <v>006749</v>
      </c>
      <c r="T30" s="10">
        <v>43389</v>
      </c>
      <c r="U30" s="14">
        <v>1.89228</v>
      </c>
      <c r="V30" s="14">
        <v>0.24151</v>
      </c>
      <c r="W30" s="14">
        <v>1.6507700000000001</v>
      </c>
      <c r="X30" s="11">
        <v>249</v>
      </c>
      <c r="Y30" s="10">
        <v>43398</v>
      </c>
      <c r="Z30" s="11">
        <v>9986075004</v>
      </c>
      <c r="AA30" s="12" t="s">
        <v>138</v>
      </c>
      <c r="AB30" s="11" t="s">
        <v>139</v>
      </c>
      <c r="AC30" s="12" t="s">
        <v>140</v>
      </c>
      <c r="AD30" s="11" t="s">
        <v>43</v>
      </c>
      <c r="AE30" s="12" t="s">
        <v>44</v>
      </c>
      <c r="AF30" s="14">
        <f t="shared" si="0"/>
        <v>1.89228E-2</v>
      </c>
      <c r="AG30" s="11" t="s">
        <v>45</v>
      </c>
    </row>
    <row r="31" spans="1:33" x14ac:dyDescent="0.2">
      <c r="A31" s="8">
        <v>6846</v>
      </c>
      <c r="B31" s="9" t="s">
        <v>134</v>
      </c>
      <c r="C31" s="10">
        <v>43398</v>
      </c>
      <c r="D31" s="11">
        <v>18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141</v>
      </c>
      <c r="J31" s="12" t="s">
        <v>142</v>
      </c>
      <c r="K31" s="13" t="s">
        <v>137</v>
      </c>
      <c r="L31" s="11" t="str">
        <f>"000124"</f>
        <v>000124</v>
      </c>
      <c r="M31" s="10">
        <v>43143</v>
      </c>
      <c r="N31" s="11" t="str">
        <f>"000044"</f>
        <v>000044</v>
      </c>
      <c r="O31" s="10">
        <v>43143</v>
      </c>
      <c r="P31" s="11" t="str">
        <f>"000118"</f>
        <v>000118</v>
      </c>
      <c r="Q31" s="10">
        <v>43143</v>
      </c>
      <c r="R31" s="11">
        <v>11</v>
      </c>
      <c r="S31" s="11" t="str">
        <f>"006750"</f>
        <v>006750</v>
      </c>
      <c r="T31" s="10">
        <v>43389</v>
      </c>
      <c r="U31" s="14">
        <v>1.8797299999999999</v>
      </c>
      <c r="V31" s="14">
        <v>0.2397</v>
      </c>
      <c r="W31" s="14">
        <v>1.6400300000000001</v>
      </c>
      <c r="X31" s="11">
        <v>249</v>
      </c>
      <c r="Y31" s="10">
        <v>43398</v>
      </c>
      <c r="Z31" s="11">
        <v>9986075004</v>
      </c>
      <c r="AA31" s="12" t="s">
        <v>138</v>
      </c>
      <c r="AB31" s="11" t="s">
        <v>139</v>
      </c>
      <c r="AC31" s="12" t="s">
        <v>140</v>
      </c>
      <c r="AD31" s="11" t="s">
        <v>43</v>
      </c>
      <c r="AE31" s="12" t="s">
        <v>44</v>
      </c>
      <c r="AF31" s="14">
        <f t="shared" si="0"/>
        <v>1.8797299999999999E-2</v>
      </c>
      <c r="AG31" s="11" t="s">
        <v>45</v>
      </c>
    </row>
    <row r="32" spans="1:33" x14ac:dyDescent="0.2">
      <c r="A32" s="8">
        <v>7042</v>
      </c>
      <c r="B32" s="9" t="s">
        <v>134</v>
      </c>
      <c r="C32" s="10">
        <v>43404</v>
      </c>
      <c r="D32" s="11">
        <v>18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143</v>
      </c>
      <c r="J32" s="12" t="s">
        <v>144</v>
      </c>
      <c r="K32" s="13" t="s">
        <v>145</v>
      </c>
      <c r="L32" s="11" t="str">
        <f>"000222"</f>
        <v>000222</v>
      </c>
      <c r="M32" s="10">
        <v>43187</v>
      </c>
      <c r="N32" s="11" t="str">
        <f>"000069"</f>
        <v>000069</v>
      </c>
      <c r="O32" s="10">
        <v>43364</v>
      </c>
      <c r="P32" s="11" t="str">
        <f>"000127"</f>
        <v>000127</v>
      </c>
      <c r="Q32" s="10">
        <v>43364</v>
      </c>
      <c r="R32" s="11">
        <v>18</v>
      </c>
      <c r="S32" s="11" t="str">
        <f>"007132"</f>
        <v>007132</v>
      </c>
      <c r="T32" s="10">
        <v>43403</v>
      </c>
      <c r="U32" s="14">
        <v>64.970060000000004</v>
      </c>
      <c r="V32" s="14">
        <v>5.2628700000000004</v>
      </c>
      <c r="W32" s="14">
        <v>59.707189999999997</v>
      </c>
      <c r="X32" s="11">
        <v>256</v>
      </c>
      <c r="Y32" s="10">
        <v>43404</v>
      </c>
      <c r="Z32" s="11">
        <v>8023330521</v>
      </c>
      <c r="AA32" s="12" t="s">
        <v>40</v>
      </c>
      <c r="AB32" s="11" t="s">
        <v>146</v>
      </c>
      <c r="AC32" s="12" t="s">
        <v>147</v>
      </c>
      <c r="AD32" s="11" t="s">
        <v>43</v>
      </c>
      <c r="AE32" s="12" t="s">
        <v>44</v>
      </c>
      <c r="AF32" s="14">
        <f t="shared" si="0"/>
        <v>0.64970060000000007</v>
      </c>
      <c r="AG32" s="11" t="s">
        <v>148</v>
      </c>
    </row>
    <row r="33" spans="1:33" x14ac:dyDescent="0.2">
      <c r="A33" s="8">
        <v>7043</v>
      </c>
      <c r="B33" s="9" t="s">
        <v>134</v>
      </c>
      <c r="C33" s="10">
        <v>43404</v>
      </c>
      <c r="D33" s="11">
        <v>18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149</v>
      </c>
      <c r="J33" s="12" t="s">
        <v>150</v>
      </c>
      <c r="K33" s="13" t="s">
        <v>52</v>
      </c>
      <c r="L33" s="11" t="str">
        <f>"000089"</f>
        <v>000089</v>
      </c>
      <c r="M33" s="10">
        <v>43336</v>
      </c>
      <c r="N33" s="11" t="str">
        <f>"000078"</f>
        <v>000078</v>
      </c>
      <c r="O33" s="10">
        <v>43385</v>
      </c>
      <c r="P33" s="11" t="str">
        <f>"000143"</f>
        <v>000143</v>
      </c>
      <c r="Q33" s="10">
        <v>43385</v>
      </c>
      <c r="R33" s="11">
        <v>18</v>
      </c>
      <c r="S33" s="11" t="str">
        <f>"007133"</f>
        <v>007133</v>
      </c>
      <c r="T33" s="10">
        <v>43403</v>
      </c>
      <c r="U33" s="14">
        <v>54.45872</v>
      </c>
      <c r="V33" s="14">
        <v>5.7538499999999999</v>
      </c>
      <c r="W33" s="14">
        <v>48.70487</v>
      </c>
      <c r="X33" s="11">
        <v>256</v>
      </c>
      <c r="Y33" s="10">
        <v>43404</v>
      </c>
      <c r="Z33" s="11">
        <v>8023330521</v>
      </c>
      <c r="AA33" s="12" t="s">
        <v>40</v>
      </c>
      <c r="AB33" s="11" t="s">
        <v>151</v>
      </c>
      <c r="AC33" s="12" t="s">
        <v>152</v>
      </c>
      <c r="AD33" s="11" t="s">
        <v>43</v>
      </c>
      <c r="AE33" s="12" t="s">
        <v>44</v>
      </c>
      <c r="AF33" s="14">
        <f t="shared" si="0"/>
        <v>0.54458720000000005</v>
      </c>
      <c r="AG33" s="11" t="s">
        <v>61</v>
      </c>
    </row>
    <row r="34" spans="1:33" x14ac:dyDescent="0.2">
      <c r="A34" s="8">
        <v>7194</v>
      </c>
      <c r="B34" s="9" t="s">
        <v>153</v>
      </c>
      <c r="C34" s="10">
        <v>43420</v>
      </c>
      <c r="D34" s="11">
        <v>18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154</v>
      </c>
      <c r="J34" s="12" t="s">
        <v>155</v>
      </c>
      <c r="K34" s="13" t="s">
        <v>66</v>
      </c>
      <c r="L34" s="11" t="str">
        <f>"000052"</f>
        <v>000052</v>
      </c>
      <c r="M34" s="10">
        <v>43313</v>
      </c>
      <c r="N34" s="11" t="str">
        <f>"000168"</f>
        <v>000168</v>
      </c>
      <c r="O34" s="10">
        <v>43399</v>
      </c>
      <c r="P34" s="11" t="str">
        <f>"000167"</f>
        <v>000167</v>
      </c>
      <c r="Q34" s="10">
        <v>43399</v>
      </c>
      <c r="R34" s="11">
        <v>18</v>
      </c>
      <c r="S34" s="11" t="str">
        <f>"007318"</f>
        <v>007318</v>
      </c>
      <c r="T34" s="10">
        <v>43417</v>
      </c>
      <c r="U34" s="14">
        <v>49.9557</v>
      </c>
      <c r="V34" s="14">
        <v>6.1437200000000001</v>
      </c>
      <c r="W34" s="14">
        <v>43.811979999999998</v>
      </c>
      <c r="X34" s="11">
        <v>265</v>
      </c>
      <c r="Y34" s="10">
        <v>43420</v>
      </c>
      <c r="Z34" s="11">
        <v>9945525730</v>
      </c>
      <c r="AA34" s="12" t="s">
        <v>67</v>
      </c>
      <c r="AB34" s="11" t="s">
        <v>156</v>
      </c>
      <c r="AC34" s="12" t="s">
        <v>157</v>
      </c>
      <c r="AD34" s="11" t="s">
        <v>70</v>
      </c>
      <c r="AE34" s="12" t="s">
        <v>71</v>
      </c>
      <c r="AF34" s="14">
        <f t="shared" si="0"/>
        <v>0.49955700000000003</v>
      </c>
      <c r="AG34" s="11" t="s">
        <v>61</v>
      </c>
    </row>
    <row r="35" spans="1:33" x14ac:dyDescent="0.2">
      <c r="A35" s="8">
        <v>7307</v>
      </c>
      <c r="B35" s="9" t="s">
        <v>153</v>
      </c>
      <c r="C35" s="10">
        <v>43424</v>
      </c>
      <c r="D35" s="11">
        <v>18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158</v>
      </c>
      <c r="J35" s="12" t="s">
        <v>159</v>
      </c>
      <c r="K35" s="13" t="s">
        <v>52</v>
      </c>
      <c r="L35" s="11" t="str">
        <f>"000121"</f>
        <v>000121</v>
      </c>
      <c r="M35" s="10">
        <v>43370</v>
      </c>
      <c r="N35" s="11" t="str">
        <f>"000075"</f>
        <v>000075</v>
      </c>
      <c r="O35" s="10">
        <v>43370</v>
      </c>
      <c r="P35" s="11" t="str">
        <f>"000138"</f>
        <v>000138</v>
      </c>
      <c r="Q35" s="10">
        <v>43370</v>
      </c>
      <c r="R35" s="11">
        <v>18</v>
      </c>
      <c r="S35" s="11" t="str">
        <f>"007402"</f>
        <v>007402</v>
      </c>
      <c r="T35" s="10">
        <v>43421</v>
      </c>
      <c r="U35" s="14">
        <v>47.662080000000003</v>
      </c>
      <c r="V35" s="14">
        <v>4.1663699999999997</v>
      </c>
      <c r="W35" s="14">
        <v>43.495710000000003</v>
      </c>
      <c r="X35" s="11">
        <v>270</v>
      </c>
      <c r="Y35" s="10">
        <v>43424</v>
      </c>
      <c r="Z35" s="11">
        <v>8023330521</v>
      </c>
      <c r="AA35" s="12" t="s">
        <v>40</v>
      </c>
      <c r="AB35" s="11" t="s">
        <v>59</v>
      </c>
      <c r="AC35" s="12" t="s">
        <v>60</v>
      </c>
      <c r="AD35" s="11" t="s">
        <v>43</v>
      </c>
      <c r="AE35" s="12" t="s">
        <v>44</v>
      </c>
      <c r="AF35" s="14">
        <f t="shared" si="0"/>
        <v>0.47662080000000001</v>
      </c>
      <c r="AG35" s="11" t="s">
        <v>61</v>
      </c>
    </row>
    <row r="36" spans="1:33" x14ac:dyDescent="0.2">
      <c r="A36" s="8">
        <v>7691</v>
      </c>
      <c r="B36" s="9" t="s">
        <v>160</v>
      </c>
      <c r="C36" s="10">
        <v>43448</v>
      </c>
      <c r="D36" s="11">
        <v>18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161</v>
      </c>
      <c r="J36" s="12" t="s">
        <v>162</v>
      </c>
      <c r="K36" s="13" t="s">
        <v>163</v>
      </c>
      <c r="L36" s="11" t="str">
        <f>"000055"</f>
        <v>000055</v>
      </c>
      <c r="M36" s="10">
        <v>42171</v>
      </c>
      <c r="N36" s="11" t="str">
        <f>"000177"</f>
        <v>000177</v>
      </c>
      <c r="O36" s="10">
        <v>42247</v>
      </c>
      <c r="P36" s="11" t="str">
        <f>"000177"</f>
        <v>000177</v>
      </c>
      <c r="Q36" s="10">
        <v>42247</v>
      </c>
      <c r="R36" s="11">
        <v>12</v>
      </c>
      <c r="S36" s="11" t="str">
        <f>"007847"</f>
        <v>007847</v>
      </c>
      <c r="T36" s="10">
        <v>43444</v>
      </c>
      <c r="U36" s="14">
        <v>0.75699000000000005</v>
      </c>
      <c r="V36" s="14">
        <v>0.1333</v>
      </c>
      <c r="W36" s="14">
        <v>0.62368999999999997</v>
      </c>
      <c r="X36" s="11">
        <v>291</v>
      </c>
      <c r="Y36" s="10">
        <v>43448</v>
      </c>
      <c r="Z36" s="11">
        <v>8023330521</v>
      </c>
      <c r="AA36" s="12" t="s">
        <v>164</v>
      </c>
      <c r="AB36" s="11" t="s">
        <v>118</v>
      </c>
      <c r="AC36" s="12" t="s">
        <v>119</v>
      </c>
      <c r="AD36" s="11" t="s">
        <v>43</v>
      </c>
      <c r="AE36" s="12" t="s">
        <v>44</v>
      </c>
      <c r="AF36" s="14">
        <f t="shared" si="0"/>
        <v>7.5699000000000009E-3</v>
      </c>
      <c r="AG36" s="11" t="s">
        <v>45</v>
      </c>
    </row>
    <row r="37" spans="1:33" x14ac:dyDescent="0.2">
      <c r="A37" s="8">
        <v>7832</v>
      </c>
      <c r="B37" s="9" t="s">
        <v>160</v>
      </c>
      <c r="C37" s="10">
        <v>43451</v>
      </c>
      <c r="D37" s="11">
        <v>18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165</v>
      </c>
      <c r="J37" s="12" t="s">
        <v>166</v>
      </c>
      <c r="K37" s="13" t="s">
        <v>167</v>
      </c>
      <c r="L37" s="11" t="str">
        <f>"000206"</f>
        <v>000206</v>
      </c>
      <c r="M37" s="10">
        <v>43440</v>
      </c>
      <c r="N37" s="11" t="str">
        <f>"000138"</f>
        <v>000138</v>
      </c>
      <c r="O37" s="10">
        <v>43440</v>
      </c>
      <c r="P37" s="11" t="str">
        <f>"000225"</f>
        <v>000225</v>
      </c>
      <c r="Q37" s="10">
        <v>43440</v>
      </c>
      <c r="R37" s="11">
        <v>18</v>
      </c>
      <c r="S37" s="11" t="str">
        <f>"008011"</f>
        <v>008011</v>
      </c>
      <c r="T37" s="10">
        <v>43448</v>
      </c>
      <c r="U37" s="14">
        <v>49.892150000000001</v>
      </c>
      <c r="V37" s="14">
        <v>5.29671</v>
      </c>
      <c r="W37" s="14">
        <v>44.595440000000004</v>
      </c>
      <c r="X37" s="11">
        <v>294</v>
      </c>
      <c r="Y37" s="10">
        <v>43451</v>
      </c>
      <c r="Z37" s="11">
        <v>8023330521</v>
      </c>
      <c r="AA37" s="12" t="s">
        <v>40</v>
      </c>
      <c r="AB37" s="11" t="s">
        <v>59</v>
      </c>
      <c r="AC37" s="12" t="s">
        <v>60</v>
      </c>
      <c r="AD37" s="11" t="s">
        <v>43</v>
      </c>
      <c r="AE37" s="12" t="s">
        <v>44</v>
      </c>
      <c r="AF37" s="14">
        <f t="shared" si="0"/>
        <v>0.49892150000000002</v>
      </c>
      <c r="AG37" s="11" t="s">
        <v>61</v>
      </c>
    </row>
    <row r="38" spans="1:33" x14ac:dyDescent="0.2">
      <c r="A38" s="8">
        <v>7833</v>
      </c>
      <c r="B38" s="9" t="s">
        <v>160</v>
      </c>
      <c r="C38" s="10">
        <v>43451</v>
      </c>
      <c r="D38" s="11">
        <v>18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168</v>
      </c>
      <c r="J38" s="12" t="s">
        <v>169</v>
      </c>
      <c r="K38" s="13" t="s">
        <v>52</v>
      </c>
      <c r="L38" s="11" t="str">
        <f>"000207"</f>
        <v>000207</v>
      </c>
      <c r="M38" s="10">
        <v>43440</v>
      </c>
      <c r="N38" s="11" t="str">
        <f>"000137"</f>
        <v>000137</v>
      </c>
      <c r="O38" s="10">
        <v>43440</v>
      </c>
      <c r="P38" s="11" t="str">
        <f>"000224"</f>
        <v>000224</v>
      </c>
      <c r="Q38" s="10">
        <v>43440</v>
      </c>
      <c r="R38" s="11">
        <v>18</v>
      </c>
      <c r="S38" s="11" t="str">
        <f>"008012"</f>
        <v>008012</v>
      </c>
      <c r="T38" s="10">
        <v>43448</v>
      </c>
      <c r="U38" s="14">
        <v>24.96434</v>
      </c>
      <c r="V38" s="14">
        <v>2.6445699999999999</v>
      </c>
      <c r="W38" s="14">
        <v>22.319769999999998</v>
      </c>
      <c r="X38" s="11">
        <v>294</v>
      </c>
      <c r="Y38" s="10">
        <v>43451</v>
      </c>
      <c r="Z38" s="11">
        <v>8023330521</v>
      </c>
      <c r="AA38" s="12" t="s">
        <v>40</v>
      </c>
      <c r="AB38" s="11" t="s">
        <v>59</v>
      </c>
      <c r="AC38" s="12" t="s">
        <v>60</v>
      </c>
      <c r="AD38" s="11" t="s">
        <v>43</v>
      </c>
      <c r="AE38" s="12" t="s">
        <v>44</v>
      </c>
      <c r="AF38" s="14">
        <f t="shared" si="0"/>
        <v>0.24964339999999999</v>
      </c>
      <c r="AG38" s="11" t="s">
        <v>61</v>
      </c>
    </row>
    <row r="39" spans="1:33" x14ac:dyDescent="0.2">
      <c r="A39" s="8">
        <v>8576</v>
      </c>
      <c r="B39" s="9" t="s">
        <v>170</v>
      </c>
      <c r="C39" s="10">
        <v>43481</v>
      </c>
      <c r="D39" s="11">
        <v>18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171</v>
      </c>
      <c r="J39" s="12" t="s">
        <v>172</v>
      </c>
      <c r="K39" s="13" t="s">
        <v>137</v>
      </c>
      <c r="L39" s="11" t="str">
        <f>"000005"</f>
        <v>000005</v>
      </c>
      <c r="M39" s="10">
        <v>43207</v>
      </c>
      <c r="N39" s="11" t="str">
        <f>"000003"</f>
        <v>000003</v>
      </c>
      <c r="O39" s="10">
        <v>43207</v>
      </c>
      <c r="P39" s="11" t="str">
        <f>"000008"</f>
        <v>000008</v>
      </c>
      <c r="Q39" s="10">
        <v>43211</v>
      </c>
      <c r="R39" s="11"/>
      <c r="S39" s="11" t="str">
        <f>"008051"</f>
        <v>008051</v>
      </c>
      <c r="T39" s="10">
        <v>43451</v>
      </c>
      <c r="U39" s="14">
        <v>29.987490000000001</v>
      </c>
      <c r="V39" s="14">
        <v>4.9874900000000002</v>
      </c>
      <c r="W39" s="14">
        <v>25</v>
      </c>
      <c r="X39" s="11">
        <v>323</v>
      </c>
      <c r="Y39" s="10">
        <v>43481</v>
      </c>
      <c r="Z39" s="11">
        <v>8023330521</v>
      </c>
      <c r="AA39" s="12" t="s">
        <v>40</v>
      </c>
      <c r="AB39" s="11" t="s">
        <v>118</v>
      </c>
      <c r="AC39" s="12" t="s">
        <v>119</v>
      </c>
      <c r="AD39" s="11" t="s">
        <v>43</v>
      </c>
      <c r="AE39" s="12" t="s">
        <v>44</v>
      </c>
      <c r="AF39" s="14">
        <f t="shared" si="0"/>
        <v>0.2998749</v>
      </c>
      <c r="AG39" s="11" t="s">
        <v>61</v>
      </c>
    </row>
    <row r="40" spans="1:33" x14ac:dyDescent="0.2">
      <c r="A40" s="8">
        <v>8582</v>
      </c>
      <c r="B40" s="9" t="s">
        <v>170</v>
      </c>
      <c r="C40" s="10">
        <v>43481</v>
      </c>
      <c r="D40" s="11">
        <v>18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173</v>
      </c>
      <c r="J40" s="12" t="s">
        <v>174</v>
      </c>
      <c r="K40" s="13" t="s">
        <v>175</v>
      </c>
      <c r="L40" s="11" t="str">
        <f>"000004"</f>
        <v>000004</v>
      </c>
      <c r="M40" s="10">
        <v>43207</v>
      </c>
      <c r="N40" s="11" t="str">
        <f>"000002"</f>
        <v>000002</v>
      </c>
      <c r="O40" s="10">
        <v>43207</v>
      </c>
      <c r="P40" s="11" t="str">
        <f>"000010"</f>
        <v>000010</v>
      </c>
      <c r="Q40" s="10">
        <v>43211</v>
      </c>
      <c r="R40" s="11"/>
      <c r="S40" s="11" t="str">
        <f>"008524"</f>
        <v>008524</v>
      </c>
      <c r="T40" s="10">
        <v>43469</v>
      </c>
      <c r="U40" s="14">
        <v>29.992429999999999</v>
      </c>
      <c r="V40" s="14">
        <v>4.9924299999999997</v>
      </c>
      <c r="W40" s="14">
        <v>25</v>
      </c>
      <c r="X40" s="11">
        <v>323</v>
      </c>
      <c r="Y40" s="10">
        <v>43481</v>
      </c>
      <c r="Z40" s="11">
        <v>8023330521</v>
      </c>
      <c r="AA40" s="12" t="s">
        <v>40</v>
      </c>
      <c r="AB40" s="11" t="s">
        <v>118</v>
      </c>
      <c r="AC40" s="12" t="s">
        <v>119</v>
      </c>
      <c r="AD40" s="11" t="s">
        <v>43</v>
      </c>
      <c r="AE40" s="12" t="s">
        <v>44</v>
      </c>
      <c r="AF40" s="14">
        <f t="shared" si="0"/>
        <v>0.29992429999999998</v>
      </c>
      <c r="AG40" s="11" t="s">
        <v>61</v>
      </c>
    </row>
    <row r="41" spans="1:33" x14ac:dyDescent="0.2">
      <c r="A41" s="8">
        <v>9406</v>
      </c>
      <c r="B41" s="9" t="s">
        <v>176</v>
      </c>
      <c r="C41" s="10">
        <v>43524</v>
      </c>
      <c r="D41" s="11">
        <v>18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177</v>
      </c>
      <c r="J41" s="12" t="s">
        <v>178</v>
      </c>
      <c r="K41" s="13" t="s">
        <v>66</v>
      </c>
      <c r="L41" s="11" t="str">
        <f>"000042"</f>
        <v>000042</v>
      </c>
      <c r="M41" s="10">
        <v>43277</v>
      </c>
      <c r="N41" s="11" t="str">
        <f>"000160"</f>
        <v>000160</v>
      </c>
      <c r="O41" s="10">
        <v>43460</v>
      </c>
      <c r="P41" s="11" t="str">
        <f>"000248"</f>
        <v>000248</v>
      </c>
      <c r="Q41" s="10">
        <v>43460</v>
      </c>
      <c r="R41" s="11"/>
      <c r="S41" s="11" t="str">
        <f>"009468"</f>
        <v>009468</v>
      </c>
      <c r="T41" s="10">
        <v>43519</v>
      </c>
      <c r="U41" s="14">
        <v>9.9629899999999996</v>
      </c>
      <c r="V41" s="14">
        <v>1.0738300000000001</v>
      </c>
      <c r="W41" s="14">
        <v>8.8891600000000004</v>
      </c>
      <c r="X41" s="11">
        <v>362</v>
      </c>
      <c r="Y41" s="10">
        <v>43524</v>
      </c>
      <c r="Z41" s="11">
        <v>8023330521</v>
      </c>
      <c r="AA41" s="12" t="s">
        <v>40</v>
      </c>
      <c r="AB41" s="11" t="s">
        <v>179</v>
      </c>
      <c r="AC41" s="12" t="s">
        <v>180</v>
      </c>
      <c r="AD41" s="11" t="s">
        <v>43</v>
      </c>
      <c r="AE41" s="12" t="s">
        <v>44</v>
      </c>
      <c r="AF41" s="14">
        <f t="shared" si="0"/>
        <v>9.9629899999999993E-2</v>
      </c>
      <c r="AG41" s="11" t="s">
        <v>61</v>
      </c>
    </row>
    <row r="42" spans="1:33" x14ac:dyDescent="0.2">
      <c r="A42" s="8">
        <v>9467</v>
      </c>
      <c r="B42" s="9" t="s">
        <v>181</v>
      </c>
      <c r="C42" s="10">
        <v>43529</v>
      </c>
      <c r="D42" s="11">
        <v>18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182</v>
      </c>
      <c r="J42" s="12" t="s">
        <v>183</v>
      </c>
      <c r="K42" s="13" t="s">
        <v>52</v>
      </c>
      <c r="L42" s="11" t="str">
        <f>"000267"</f>
        <v>000267</v>
      </c>
      <c r="M42" s="10">
        <v>43495</v>
      </c>
      <c r="N42" s="11" t="str">
        <f>"000182"</f>
        <v>000182</v>
      </c>
      <c r="O42" s="10">
        <v>43495</v>
      </c>
      <c r="P42" s="11" t="str">
        <f>"000288"</f>
        <v>000288</v>
      </c>
      <c r="Q42" s="10">
        <v>43495</v>
      </c>
      <c r="R42" s="11"/>
      <c r="S42" s="11" t="str">
        <f>"009605"</f>
        <v>009605</v>
      </c>
      <c r="T42" s="10">
        <v>43529</v>
      </c>
      <c r="U42" s="14">
        <v>49.87435</v>
      </c>
      <c r="V42" s="14">
        <v>5.9710000000000001</v>
      </c>
      <c r="W42" s="14">
        <v>43.903350000000003</v>
      </c>
      <c r="X42" s="11">
        <v>367</v>
      </c>
      <c r="Y42" s="10">
        <v>43529</v>
      </c>
      <c r="Z42" s="11">
        <v>8023330521</v>
      </c>
      <c r="AA42" s="12" t="s">
        <v>40</v>
      </c>
      <c r="AB42" s="11" t="s">
        <v>59</v>
      </c>
      <c r="AC42" s="12" t="s">
        <v>60</v>
      </c>
      <c r="AD42" s="11" t="s">
        <v>43</v>
      </c>
      <c r="AE42" s="12" t="s">
        <v>44</v>
      </c>
      <c r="AF42" s="14">
        <f t="shared" si="0"/>
        <v>0.49874350000000001</v>
      </c>
      <c r="AG42" s="11" t="s">
        <v>61</v>
      </c>
    </row>
    <row r="43" spans="1:33" x14ac:dyDescent="0.2">
      <c r="A43" s="8">
        <v>9500</v>
      </c>
      <c r="B43" s="9" t="s">
        <v>181</v>
      </c>
      <c r="C43" s="10">
        <v>43531</v>
      </c>
      <c r="D43" s="11">
        <v>18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184</v>
      </c>
      <c r="J43" s="12" t="s">
        <v>185</v>
      </c>
      <c r="K43" s="13" t="s">
        <v>66</v>
      </c>
      <c r="L43" s="11" t="str">
        <f>"000200"</f>
        <v>000200</v>
      </c>
      <c r="M43" s="10">
        <v>43186</v>
      </c>
      <c r="N43" s="11" t="str">
        <f>"000181"</f>
        <v>000181</v>
      </c>
      <c r="O43" s="10">
        <v>43495</v>
      </c>
      <c r="P43" s="11" t="str">
        <f>"000289"</f>
        <v>000289</v>
      </c>
      <c r="Q43" s="10">
        <v>43495</v>
      </c>
      <c r="R43" s="11"/>
      <c r="S43" s="11" t="str">
        <f>"009612"</f>
        <v>009612</v>
      </c>
      <c r="T43" s="10">
        <v>43529</v>
      </c>
      <c r="U43" s="14">
        <v>46.085979999999999</v>
      </c>
      <c r="V43" s="14">
        <v>5.0325499999999996</v>
      </c>
      <c r="W43" s="14">
        <v>41.053429999999999</v>
      </c>
      <c r="X43" s="11">
        <v>369</v>
      </c>
      <c r="Y43" s="10">
        <v>43531</v>
      </c>
      <c r="Z43" s="11">
        <v>8023330521</v>
      </c>
      <c r="AA43" s="12" t="s">
        <v>125</v>
      </c>
      <c r="AB43" s="11" t="s">
        <v>68</v>
      </c>
      <c r="AC43" s="12" t="s">
        <v>69</v>
      </c>
      <c r="AD43" s="11" t="s">
        <v>43</v>
      </c>
      <c r="AE43" s="12" t="s">
        <v>44</v>
      </c>
      <c r="AF43" s="14">
        <f t="shared" si="0"/>
        <v>0.46085979999999999</v>
      </c>
      <c r="AG43" s="11" t="s">
        <v>148</v>
      </c>
    </row>
    <row r="44" spans="1:33" x14ac:dyDescent="0.2">
      <c r="A44" s="8">
        <v>9693</v>
      </c>
      <c r="B44" s="9" t="s">
        <v>181</v>
      </c>
      <c r="C44" s="10">
        <v>43539</v>
      </c>
      <c r="D44" s="11">
        <v>18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186</v>
      </c>
      <c r="J44" s="12" t="s">
        <v>187</v>
      </c>
      <c r="K44" s="13" t="s">
        <v>52</v>
      </c>
      <c r="L44" s="11" t="str">
        <f>"000114"</f>
        <v>000114</v>
      </c>
      <c r="M44" s="10">
        <v>42639</v>
      </c>
      <c r="N44" s="11" t="str">
        <f>"000064"</f>
        <v>000064</v>
      </c>
      <c r="O44" s="10">
        <v>42916</v>
      </c>
      <c r="P44" s="11" t="str">
        <f>"000147"</f>
        <v>000147</v>
      </c>
      <c r="Q44" s="10">
        <v>42916</v>
      </c>
      <c r="R44" s="11"/>
      <c r="S44" s="11" t="str">
        <f>"009754"</f>
        <v>009754</v>
      </c>
      <c r="T44" s="10">
        <v>43538</v>
      </c>
      <c r="U44" s="14">
        <v>69.299099999999996</v>
      </c>
      <c r="V44" s="14">
        <v>5.6151400000000002</v>
      </c>
      <c r="W44" s="14">
        <v>63.683959999999999</v>
      </c>
      <c r="X44" s="11">
        <v>376</v>
      </c>
      <c r="Y44" s="10">
        <v>43539</v>
      </c>
      <c r="Z44" s="11">
        <v>8023330521</v>
      </c>
      <c r="AA44" s="12" t="s">
        <v>188</v>
      </c>
      <c r="AB44" s="11" t="s">
        <v>118</v>
      </c>
      <c r="AC44" s="12" t="s">
        <v>119</v>
      </c>
      <c r="AD44" s="11" t="s">
        <v>43</v>
      </c>
      <c r="AE44" s="12" t="s">
        <v>44</v>
      </c>
      <c r="AF44" s="14">
        <f t="shared" si="0"/>
        <v>0.69299099999999991</v>
      </c>
      <c r="AG44" s="11" t="s">
        <v>45</v>
      </c>
    </row>
    <row r="45" spans="1:33" x14ac:dyDescent="0.2">
      <c r="A45" s="8">
        <v>9721</v>
      </c>
      <c r="B45" s="9" t="s">
        <v>181</v>
      </c>
      <c r="C45" s="10">
        <v>43540</v>
      </c>
      <c r="D45" s="11">
        <v>18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189</v>
      </c>
      <c r="J45" s="12" t="s">
        <v>190</v>
      </c>
      <c r="K45" s="13" t="s">
        <v>191</v>
      </c>
      <c r="L45" s="11" t="str">
        <f>"000209"</f>
        <v>000209</v>
      </c>
      <c r="M45" s="10">
        <v>43444</v>
      </c>
      <c r="N45" s="11" t="str">
        <f>"000185"</f>
        <v>000185</v>
      </c>
      <c r="O45" s="10">
        <v>43497</v>
      </c>
      <c r="P45" s="11" t="str">
        <f>"000293"</f>
        <v>000293</v>
      </c>
      <c r="Q45" s="10">
        <v>43497</v>
      </c>
      <c r="R45" s="11"/>
      <c r="S45" s="11" t="str">
        <f>"009685"</f>
        <v>009685</v>
      </c>
      <c r="T45" s="10">
        <v>43537</v>
      </c>
      <c r="U45" s="14">
        <v>33.998959999999997</v>
      </c>
      <c r="V45" s="14">
        <v>3.5580699999999998</v>
      </c>
      <c r="W45" s="14">
        <v>30.44089</v>
      </c>
      <c r="X45" s="11">
        <v>377</v>
      </c>
      <c r="Y45" s="10">
        <v>43540</v>
      </c>
      <c r="Z45" s="11">
        <v>8023330521</v>
      </c>
      <c r="AA45" s="12" t="s">
        <v>40</v>
      </c>
      <c r="AB45" s="11" t="s">
        <v>192</v>
      </c>
      <c r="AC45" s="12" t="s">
        <v>193</v>
      </c>
      <c r="AD45" s="11" t="s">
        <v>43</v>
      </c>
      <c r="AE45" s="12" t="s">
        <v>44</v>
      </c>
      <c r="AF45" s="14">
        <f t="shared" si="0"/>
        <v>0.33998959999999995</v>
      </c>
      <c r="AG45" s="11" t="s">
        <v>61</v>
      </c>
    </row>
    <row r="46" spans="1:33" x14ac:dyDescent="0.2">
      <c r="A46" s="8">
        <v>9841</v>
      </c>
      <c r="B46" s="9" t="s">
        <v>181</v>
      </c>
      <c r="C46" s="10">
        <v>43549</v>
      </c>
      <c r="D46" s="11">
        <v>18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194</v>
      </c>
      <c r="J46" s="12" t="s">
        <v>195</v>
      </c>
      <c r="K46" s="13" t="s">
        <v>66</v>
      </c>
      <c r="L46" s="11" t="str">
        <f>"000021"</f>
        <v>000021</v>
      </c>
      <c r="M46" s="10">
        <v>43458</v>
      </c>
      <c r="N46" s="11" t="str">
        <f>"000045"</f>
        <v>000045</v>
      </c>
      <c r="O46" s="10">
        <v>43496</v>
      </c>
      <c r="P46" s="11" t="str">
        <f>"000044"</f>
        <v>000044</v>
      </c>
      <c r="Q46" s="10">
        <v>43501</v>
      </c>
      <c r="R46" s="11"/>
      <c r="S46" s="11" t="str">
        <f>"009854"</f>
        <v>009854</v>
      </c>
      <c r="T46" s="10">
        <v>43544</v>
      </c>
      <c r="U46" s="14">
        <v>39.851909999999997</v>
      </c>
      <c r="V46" s="14">
        <v>4.9307699999999999</v>
      </c>
      <c r="W46" s="14">
        <v>34.921140000000001</v>
      </c>
      <c r="X46" s="11">
        <v>383</v>
      </c>
      <c r="Y46" s="10">
        <v>43549</v>
      </c>
      <c r="Z46" s="11">
        <v>9900333496</v>
      </c>
      <c r="AA46" s="12" t="s">
        <v>196</v>
      </c>
      <c r="AB46" s="11" t="s">
        <v>192</v>
      </c>
      <c r="AC46" s="12" t="s">
        <v>193</v>
      </c>
      <c r="AD46" s="11" t="s">
        <v>197</v>
      </c>
      <c r="AE46" s="12" t="s">
        <v>198</v>
      </c>
      <c r="AF46" s="14">
        <f t="shared" si="0"/>
        <v>0.39851909999999996</v>
      </c>
      <c r="AG46" s="11" t="s">
        <v>61</v>
      </c>
    </row>
    <row r="47" spans="1:33" x14ac:dyDescent="0.2">
      <c r="A47" s="8">
        <v>9842</v>
      </c>
      <c r="B47" s="9" t="s">
        <v>181</v>
      </c>
      <c r="C47" s="10">
        <v>43549</v>
      </c>
      <c r="D47" s="11">
        <v>18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199</v>
      </c>
      <c r="J47" s="12" t="s">
        <v>200</v>
      </c>
      <c r="K47" s="13" t="s">
        <v>191</v>
      </c>
      <c r="L47" s="11" t="str">
        <f>"000018"</f>
        <v>000018</v>
      </c>
      <c r="M47" s="10">
        <v>43458</v>
      </c>
      <c r="N47" s="11" t="str">
        <f>"000046"</f>
        <v>000046</v>
      </c>
      <c r="O47" s="10">
        <v>43496</v>
      </c>
      <c r="P47" s="11" t="str">
        <f>"000045"</f>
        <v>000045</v>
      </c>
      <c r="Q47" s="10">
        <v>43501</v>
      </c>
      <c r="R47" s="11"/>
      <c r="S47" s="11" t="str">
        <f>"009855"</f>
        <v>009855</v>
      </c>
      <c r="T47" s="10">
        <v>43544</v>
      </c>
      <c r="U47" s="14">
        <v>34.149619999999999</v>
      </c>
      <c r="V47" s="14">
        <v>4.4313500000000001</v>
      </c>
      <c r="W47" s="14">
        <v>29.71827</v>
      </c>
      <c r="X47" s="11">
        <v>383</v>
      </c>
      <c r="Y47" s="10">
        <v>43549</v>
      </c>
      <c r="Z47" s="11">
        <v>9900333496</v>
      </c>
      <c r="AA47" s="12" t="s">
        <v>201</v>
      </c>
      <c r="AB47" s="11" t="s">
        <v>192</v>
      </c>
      <c r="AC47" s="12" t="s">
        <v>193</v>
      </c>
      <c r="AD47" s="11" t="s">
        <v>197</v>
      </c>
      <c r="AE47" s="12" t="s">
        <v>198</v>
      </c>
      <c r="AF47" s="14">
        <f t="shared" si="0"/>
        <v>0.34149619999999997</v>
      </c>
      <c r="AG47" s="11" t="s">
        <v>61</v>
      </c>
    </row>
    <row r="48" spans="1:33" x14ac:dyDescent="0.2">
      <c r="A48" s="8">
        <v>9949</v>
      </c>
      <c r="B48" s="9" t="s">
        <v>181</v>
      </c>
      <c r="C48" s="10">
        <v>43552</v>
      </c>
      <c r="D48" s="11">
        <v>18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202</v>
      </c>
      <c r="J48" s="12" t="s">
        <v>203</v>
      </c>
      <c r="K48" s="13" t="s">
        <v>116</v>
      </c>
      <c r="L48" s="11" t="str">
        <f>"000294"</f>
        <v>000294</v>
      </c>
      <c r="M48" s="10">
        <v>43522</v>
      </c>
      <c r="N48" s="11" t="str">
        <f>"000198"</f>
        <v>000198</v>
      </c>
      <c r="O48" s="10">
        <v>43522</v>
      </c>
      <c r="P48" s="11" t="str">
        <f>"000301"</f>
        <v>000301</v>
      </c>
      <c r="Q48" s="10">
        <v>43522</v>
      </c>
      <c r="R48" s="11"/>
      <c r="S48" s="11" t="str">
        <f>"010022"</f>
        <v>010022</v>
      </c>
      <c r="T48" s="10">
        <v>43551</v>
      </c>
      <c r="U48" s="14">
        <v>14.48367</v>
      </c>
      <c r="V48" s="14">
        <v>0.59899999999999998</v>
      </c>
      <c r="W48" s="14">
        <v>13.88467</v>
      </c>
      <c r="X48" s="11">
        <v>389</v>
      </c>
      <c r="Y48" s="10">
        <v>43552</v>
      </c>
      <c r="Z48" s="11">
        <v>8023330521</v>
      </c>
      <c r="AA48" s="12" t="s">
        <v>204</v>
      </c>
      <c r="AB48" s="11" t="s">
        <v>205</v>
      </c>
      <c r="AC48" s="12" t="s">
        <v>206</v>
      </c>
      <c r="AD48" s="11" t="s">
        <v>43</v>
      </c>
      <c r="AE48" s="12" t="s">
        <v>44</v>
      </c>
      <c r="AF48" s="14">
        <f t="shared" si="0"/>
        <v>0.14483670000000001</v>
      </c>
      <c r="AG48" s="11" t="s">
        <v>61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2019-06-12T10:59:49Z</dcterms:modified>
</cp:coreProperties>
</file>