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5" i="1" l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AF14" i="1"/>
  <c r="S14" i="1"/>
  <c r="P14" i="1"/>
  <c r="N14" i="1"/>
  <c r="L14" i="1"/>
  <c r="AF13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<sst xmlns="http://schemas.openxmlformats.org/spreadsheetml/2006/main" count="369" uniqueCount="126">
  <si>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</si>
  <si>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</si>
  <si>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</si>
  <si>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</si>
  <si>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</si>
  <si>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</si>
  <si>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</si>
  <si>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</si>
  <si>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</si>
  <si>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</si>
  <si>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</si>
  <si>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</si>
  <si>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</si>
  <si>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</si>
  <si>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</si>
  <si>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</si>
  <si>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</si>
  <si>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</si>
  <si>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</si>
  <si>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</si>
  <si>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</si>
  <si>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</si>
  <si>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</si>
  <si>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</si>
  <si>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</si>
  <si>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</si>
  <si>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</si>
  <si>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</si>
  <si>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</si>
  <si>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</si>
  <si>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</si>
  <si>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</si>
  <si>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</si>
  <si>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June</t>
  </si>
  <si>
    <t>Banashankari Temple Ward</t>
  </si>
  <si>
    <t>Banashankari</t>
  </si>
  <si>
    <t>Padmanabha Nagara</t>
  </si>
  <si>
    <t>South</t>
  </si>
  <si>
    <t>180-16-000013</t>
  </si>
  <si>
    <t>Construction of Anganawadi Center in Pragathipura and Banashankari Temple ward 180</t>
  </si>
  <si>
    <t>Other Ward Works</t>
  </si>
  <si>
    <t>G.N.Prasanna</t>
  </si>
  <si>
    <t>P3075</t>
  </si>
  <si>
    <t>Special comprehensive development works in Bangalore city (Bangalore city in charge Minister Discretionary Grants)</t>
  </si>
  <si>
    <t>ddo422</t>
  </si>
  <si>
    <t xml:space="preserve"> Executive Engineer Project - South Zone</t>
  </si>
  <si>
    <t>Pending</t>
  </si>
  <si>
    <t>180-15-000009</t>
  </si>
  <si>
    <t xml:space="preserve">Construction of CC road to Hari colony main roads and cross roads in Ward No 180 </t>
  </si>
  <si>
    <t>Roads &amp; Drivablility</t>
  </si>
  <si>
    <t>C. KRISHNA</t>
  </si>
  <si>
    <t>P1771</t>
  </si>
  <si>
    <t>Zone Works - POW Works</t>
  </si>
  <si>
    <t>ddo490</t>
  </si>
  <si>
    <t xml:space="preserve"> Assistant Executive Engineer Banashankari South Zone</t>
  </si>
  <si>
    <t>180-13-000030</t>
  </si>
  <si>
    <t>Improvements and construction of play ground near tamil school field Banashankari in ward no 180</t>
  </si>
  <si>
    <t>Technical Manager (3), KRIDL</t>
  </si>
  <si>
    <t>P2434</t>
  </si>
  <si>
    <t>Development works for Bangalore City</t>
  </si>
  <si>
    <t>180-16-000010</t>
  </si>
  <si>
    <t>COMPREHENSIVE DEVELOPMENT OF BAD ROADS BY PROVIDING ASPHALTING AND IMPROVEMENTS OF ROADS SIDE DRAINS IN WARD NO 165, 166, 167 and 180 (Comprising of 5 Works). PACKAGE-02. (Comprehensive development of roads and drains in ward no 180)</t>
  </si>
  <si>
    <t>VINOD KUMAR B K</t>
  </si>
  <si>
    <t>P3106</t>
  </si>
  <si>
    <t>Nagarothana Works</t>
  </si>
  <si>
    <t>Spill Over</t>
  </si>
  <si>
    <t>180-18-000002</t>
  </si>
  <si>
    <t>Improvements of CC roads drains and other works at Bhavaninagar 12th cross in ward no 180</t>
  </si>
  <si>
    <t>TECHNICAL MANAGER (3), KRIDL</t>
  </si>
  <si>
    <t>P1878</t>
  </si>
  <si>
    <t>18per - Works (Bhagyajyothi, Sooru / Neeru Yojane and General) (54 Lakhs / New Wards)</t>
  </si>
  <si>
    <t>180-18-000001</t>
  </si>
  <si>
    <t>Improvements of CC roads drains and other works at Bhavaninagar 11th A.B.and C cross in ward no 180</t>
  </si>
  <si>
    <t>180-18-000004</t>
  </si>
  <si>
    <t>Improvements to drains and other works at hari colony in ward no 180</t>
  </si>
  <si>
    <t>Footpaths &amp; Walkability</t>
  </si>
  <si>
    <t>180-18-000003</t>
  </si>
  <si>
    <t>Improvements of CC roads drains and other works at Vijaya collage slum 2nd A.B and C cross in ward no 180</t>
  </si>
  <si>
    <t>July</t>
  </si>
  <si>
    <t>180-17-000028</t>
  </si>
  <si>
    <t>Providing CC Camera at Garbage Block Spots in ward no 180</t>
  </si>
  <si>
    <t>Crime &amp; Safety</t>
  </si>
  <si>
    <t>M/S Shree Devi Enterprises (M.Gunashekar)</t>
  </si>
  <si>
    <t>P3110</t>
  </si>
  <si>
    <t>14th Finance Commission Grant Works</t>
  </si>
  <si>
    <t>ddo258</t>
  </si>
  <si>
    <t xml:space="preserve"> Executive Engineer Electrical South Zone</t>
  </si>
  <si>
    <t>180-14-000017</t>
  </si>
  <si>
    <t>Construction of RCC drain wall from Kanakapura road to Bavaninagar northern side of Subramanyapura main road (drain shoulder drain and footpath) in ward no 180 Banashankari</t>
  </si>
  <si>
    <t>P2845</t>
  </si>
  <si>
    <t>Construction of RCC wall in Kanakpura road to Bhavaninagar Subramanyapura in W.No 180</t>
  </si>
  <si>
    <t>August</t>
  </si>
  <si>
    <t>180-16-000008</t>
  </si>
  <si>
    <t>Providing Borewells Network and distribution system iat Pragathipura in ward no 180 2 Nos</t>
  </si>
  <si>
    <t>Water &amp; Sanitary</t>
  </si>
  <si>
    <t>K C SRIDHAR</t>
  </si>
  <si>
    <t>P1802</t>
  </si>
  <si>
    <t>Water Supply New Areas</t>
  </si>
  <si>
    <t>September</t>
  </si>
  <si>
    <t>180-18-000038</t>
  </si>
  <si>
    <t>Improvement of CC road, drains in 2nd cross Nehru colony slum in ward no 180</t>
  </si>
  <si>
    <t>Current</t>
  </si>
  <si>
    <t>180-18-000039</t>
  </si>
  <si>
    <t>Improvement of CC road, drains in 3rd cross Nehru colony slum in ward no 180</t>
  </si>
  <si>
    <t>180-18-000041</t>
  </si>
  <si>
    <t>Improvement of CC roads, drains near mariyamma temple nehru colony slum in ward no 180</t>
  </si>
  <si>
    <t>180-18-000037</t>
  </si>
  <si>
    <t>Improvement of CC road, drains in 1st cross Nehru colony slum in ward no 180</t>
  </si>
  <si>
    <t>180-18-000040</t>
  </si>
  <si>
    <t>Improvement of CC road, drains near ayappa temple nehru colony slum in ward no 180</t>
  </si>
  <si>
    <t>October</t>
  </si>
  <si>
    <t>180-18-000014</t>
  </si>
  <si>
    <t>Providing LED Street lights in ward no 180</t>
  </si>
  <si>
    <t>Executive Engineer -3, KRIDL</t>
  </si>
  <si>
    <t>P3290</t>
  </si>
  <si>
    <t>14th Finance Commission Works - Providing Street Lights and Maintenance</t>
  </si>
  <si>
    <t>March</t>
  </si>
  <si>
    <t>180-18-000012</t>
  </si>
  <si>
    <t>Repairs to Public toilet in ward No 180</t>
  </si>
  <si>
    <t>Health &amp; Sanitation</t>
  </si>
  <si>
    <t>P3294</t>
  </si>
  <si>
    <t>14th Finance Commission Works - General Public ToiletandSeptage Maintenance</t>
  </si>
  <si>
    <t>180-18-000011</t>
  </si>
  <si>
    <t>Drilling of borewell and supply of water through pipes in surrounding area in ward No 180</t>
  </si>
  <si>
    <t>P3293</t>
  </si>
  <si>
    <t>14th Finance Commission Works - Drinking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</si>
</sst>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"/>
  <sheetViews>
    <sheetView tabSelected="1" workbookViewId="0">
      <pane ySplit="1" topLeftCell="A2" activePane="bottomLeft" state="frozen"/>
      <selection activeCell="H1" sqref="H1"/>
      <selection pane="bottomLeft" activeCell="A2" sqref="A2:XFD25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1696</v>
      </c>
      <c r="B2" s="9" t="s">
        <v>33</v>
      </c>
      <c r="C2" s="10">
        <v>43252</v>
      </c>
      <c r="D2" s="11">
        <v>180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"000068"</f>
        <v>000068</v>
      </c>
      <c r="M2" s="10">
        <v>42619</v>
      </c>
      <c r="N2" s="11" t="str">
        <f>"006"</f>
        <v>006</v>
      </c>
      <c r="O2" s="10">
        <v>17</v>
      </c>
      <c r="P2" s="11" t="str">
        <f>"025"</f>
        <v>025</v>
      </c>
      <c r="Q2" s="10">
        <v>17</v>
      </c>
      <c r="R2" s="11">
        <v>16</v>
      </c>
      <c r="S2" s="11" t="str">
        <f>"001919"</f>
        <v>001919</v>
      </c>
      <c r="T2" s="10">
        <v>43246</v>
      </c>
      <c r="U2" s="14">
        <v>26.56334</v>
      </c>
      <c r="V2" s="14">
        <v>3.00108</v>
      </c>
      <c r="W2" s="14">
        <v>23.562259999999998</v>
      </c>
      <c r="X2" s="11">
        <v>64</v>
      </c>
      <c r="Y2" s="10">
        <v>43252</v>
      </c>
      <c r="Z2" s="11">
        <v>9845290968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0.26563340000000002</v>
      </c>
      <c r="AG2" s="11" t="s">
        <v>46</v>
      </c>
    </row>
    <row r="3" spans="1:33" x14ac:dyDescent="0.2">
      <c r="A3" s="8">
        <v>1914</v>
      </c>
      <c r="B3" s="9" t="s">
        <v>33</v>
      </c>
      <c r="C3" s="10">
        <v>43257</v>
      </c>
      <c r="D3" s="11">
        <v>180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"000107"</f>
        <v>000107</v>
      </c>
      <c r="M3" s="10">
        <v>42009</v>
      </c>
      <c r="N3" s="11" t="str">
        <f>"000039"</f>
        <v>000039</v>
      </c>
      <c r="O3" s="10">
        <v>42615</v>
      </c>
      <c r="P3" s="11" t="str">
        <f>"000284"</f>
        <v>000284</v>
      </c>
      <c r="Q3" s="10">
        <v>42627</v>
      </c>
      <c r="R3" s="11">
        <v>15</v>
      </c>
      <c r="S3" s="11" t="str">
        <f>"002154"</f>
        <v>002154</v>
      </c>
      <c r="T3" s="10">
        <v>43255</v>
      </c>
      <c r="U3" s="14">
        <v>9.4922299999999993</v>
      </c>
      <c r="V3" s="14">
        <v>1.3572299999999999</v>
      </c>
      <c r="W3" s="14">
        <v>8.1349999999999998</v>
      </c>
      <c r="X3" s="11">
        <v>71</v>
      </c>
      <c r="Y3" s="10">
        <v>43257</v>
      </c>
      <c r="Z3" s="11">
        <v>9740377357</v>
      </c>
      <c r="AA3" s="12" t="s">
        <v>50</v>
      </c>
      <c r="AB3" s="11" t="s">
        <v>51</v>
      </c>
      <c r="AC3" s="12" t="s">
        <v>52</v>
      </c>
      <c r="AD3" s="11" t="s">
        <v>53</v>
      </c>
      <c r="AE3" s="12" t="s">
        <v>54</v>
      </c>
      <c r="AF3" s="14">
        <v>9.4922299999999987E-2</v>
      </c>
      <c r="AG3" s="11" t="s">
        <v>46</v>
      </c>
    </row>
    <row r="4" spans="1:33" x14ac:dyDescent="0.2">
      <c r="A4" s="8">
        <v>1915</v>
      </c>
      <c r="B4" s="9" t="s">
        <v>33</v>
      </c>
      <c r="C4" s="10">
        <v>43257</v>
      </c>
      <c r="D4" s="11">
        <v>180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55</v>
      </c>
      <c r="J4" s="12" t="s">
        <v>56</v>
      </c>
      <c r="K4" s="13" t="s">
        <v>40</v>
      </c>
      <c r="L4" s="11" t="str">
        <f>"000201"</f>
        <v>000201</v>
      </c>
      <c r="M4" s="10">
        <v>41628</v>
      </c>
      <c r="N4" s="11" t="str">
        <f>"000040"</f>
        <v>000040</v>
      </c>
      <c r="O4" s="10">
        <v>42627</v>
      </c>
      <c r="P4" s="11" t="str">
        <f>"000285"</f>
        <v>000285</v>
      </c>
      <c r="Q4" s="10">
        <v>42627</v>
      </c>
      <c r="R4" s="11">
        <v>13</v>
      </c>
      <c r="S4" s="11" t="str">
        <f>"002155"</f>
        <v>002155</v>
      </c>
      <c r="T4" s="10">
        <v>43255</v>
      </c>
      <c r="U4" s="14">
        <v>287.43482999999998</v>
      </c>
      <c r="V4" s="14">
        <v>118.63703</v>
      </c>
      <c r="W4" s="14">
        <v>168.7978</v>
      </c>
      <c r="X4" s="11">
        <v>71</v>
      </c>
      <c r="Y4" s="10">
        <v>43257</v>
      </c>
      <c r="Z4" s="11">
        <v>9986697126</v>
      </c>
      <c r="AA4" s="12" t="s">
        <v>57</v>
      </c>
      <c r="AB4" s="11" t="s">
        <v>58</v>
      </c>
      <c r="AC4" s="12" t="s">
        <v>59</v>
      </c>
      <c r="AD4" s="11" t="s">
        <v>53</v>
      </c>
      <c r="AE4" s="12" t="s">
        <v>54</v>
      </c>
      <c r="AF4" s="14">
        <v>2.8743482999999999</v>
      </c>
      <c r="AG4" s="11" t="s">
        <v>46</v>
      </c>
    </row>
    <row r="5" spans="1:33" x14ac:dyDescent="0.2">
      <c r="A5" s="8">
        <v>2109</v>
      </c>
      <c r="B5" s="9" t="s">
        <v>33</v>
      </c>
      <c r="C5" s="10">
        <v>43264</v>
      </c>
      <c r="D5" s="11">
        <v>180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60</v>
      </c>
      <c r="J5" s="12" t="s">
        <v>61</v>
      </c>
      <c r="K5" s="13" t="s">
        <v>49</v>
      </c>
      <c r="L5" s="11" t="str">
        <f>"5*0048"</f>
        <v>5*0048</v>
      </c>
      <c r="M5" s="10">
        <v>42762</v>
      </c>
      <c r="N5" s="11" t="str">
        <f>"000003"</f>
        <v>000003</v>
      </c>
      <c r="O5" s="10">
        <v>43242</v>
      </c>
      <c r="P5" s="11" t="str">
        <f>"000018"</f>
        <v>000018</v>
      </c>
      <c r="Q5" s="10">
        <v>43248</v>
      </c>
      <c r="R5" s="11">
        <v>16</v>
      </c>
      <c r="S5" s="11" t="str">
        <f>"002447"</f>
        <v>002447</v>
      </c>
      <c r="T5" s="10">
        <v>43263</v>
      </c>
      <c r="U5" s="14">
        <v>48.294379999999997</v>
      </c>
      <c r="V5" s="14">
        <v>1.3143800000000001</v>
      </c>
      <c r="W5" s="14">
        <v>46.98</v>
      </c>
      <c r="X5" s="11">
        <v>82</v>
      </c>
      <c r="Y5" s="10">
        <v>43264</v>
      </c>
      <c r="Z5" s="11">
        <v>9845222227</v>
      </c>
      <c r="AA5" s="12" t="s">
        <v>62</v>
      </c>
      <c r="AB5" s="11" t="s">
        <v>63</v>
      </c>
      <c r="AC5" s="12" t="s">
        <v>64</v>
      </c>
      <c r="AD5" s="11" t="s">
        <v>53</v>
      </c>
      <c r="AE5" s="12" t="s">
        <v>54</v>
      </c>
      <c r="AF5" s="14">
        <v>0.48294379999999998</v>
      </c>
      <c r="AG5" s="11" t="s">
        <v>65</v>
      </c>
    </row>
    <row r="6" spans="1:33" x14ac:dyDescent="0.2">
      <c r="A6" s="8">
        <v>2664</v>
      </c>
      <c r="B6" s="9" t="s">
        <v>33</v>
      </c>
      <c r="C6" s="10">
        <v>43276</v>
      </c>
      <c r="D6" s="11">
        <v>180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66</v>
      </c>
      <c r="J6" s="12" t="s">
        <v>67</v>
      </c>
      <c r="K6" s="13" t="s">
        <v>49</v>
      </c>
      <c r="L6" s="11" t="str">
        <f>"000110"</f>
        <v>000110</v>
      </c>
      <c r="M6" s="10">
        <v>43160</v>
      </c>
      <c r="N6" s="11" t="str">
        <f>"000009"</f>
        <v>000009</v>
      </c>
      <c r="O6" s="10">
        <v>43259</v>
      </c>
      <c r="P6" s="11" t="str">
        <f>"000024"</f>
        <v>000024</v>
      </c>
      <c r="Q6" s="10">
        <v>43262</v>
      </c>
      <c r="R6" s="11">
        <v>18</v>
      </c>
      <c r="S6" s="11" t="str">
        <f>"002805"</f>
        <v>002805</v>
      </c>
      <c r="T6" s="10">
        <v>43271</v>
      </c>
      <c r="U6" s="14">
        <v>19.951550000000001</v>
      </c>
      <c r="V6" s="14">
        <v>2.4515500000000001</v>
      </c>
      <c r="W6" s="14">
        <v>17.5</v>
      </c>
      <c r="X6" s="11">
        <v>100</v>
      </c>
      <c r="Y6" s="10">
        <v>43276</v>
      </c>
      <c r="Z6" s="11">
        <v>9986697126</v>
      </c>
      <c r="AA6" s="12" t="s">
        <v>68</v>
      </c>
      <c r="AB6" s="11" t="s">
        <v>69</v>
      </c>
      <c r="AC6" s="12" t="s">
        <v>70</v>
      </c>
      <c r="AD6" s="11" t="s">
        <v>53</v>
      </c>
      <c r="AE6" s="12" t="s">
        <v>54</v>
      </c>
      <c r="AF6" s="14">
        <v>0.19951550000000001</v>
      </c>
      <c r="AG6" s="11" t="s">
        <v>65</v>
      </c>
    </row>
    <row r="7" spans="1:33" x14ac:dyDescent="0.2">
      <c r="A7" s="8">
        <v>2665</v>
      </c>
      <c r="B7" s="9" t="s">
        <v>33</v>
      </c>
      <c r="C7" s="10">
        <v>43276</v>
      </c>
      <c r="D7" s="11">
        <v>180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71</v>
      </c>
      <c r="J7" s="12" t="s">
        <v>72</v>
      </c>
      <c r="K7" s="13" t="s">
        <v>49</v>
      </c>
      <c r="L7" s="11" t="str">
        <f>"000109"</f>
        <v>000109</v>
      </c>
      <c r="M7" s="10">
        <v>43160</v>
      </c>
      <c r="N7" s="11" t="str">
        <f>"000010"</f>
        <v>000010</v>
      </c>
      <c r="O7" s="10">
        <v>43259</v>
      </c>
      <c r="P7" s="11" t="str">
        <f>"000025"</f>
        <v>000025</v>
      </c>
      <c r="Q7" s="10">
        <v>43262</v>
      </c>
      <c r="R7" s="11">
        <v>18</v>
      </c>
      <c r="S7" s="11" t="str">
        <f>"002807"</f>
        <v>002807</v>
      </c>
      <c r="T7" s="10">
        <v>43271</v>
      </c>
      <c r="U7" s="14">
        <v>29.87604</v>
      </c>
      <c r="V7" s="14">
        <v>3.65604</v>
      </c>
      <c r="W7" s="14">
        <v>26.22</v>
      </c>
      <c r="X7" s="11">
        <v>100</v>
      </c>
      <c r="Y7" s="10">
        <v>43276</v>
      </c>
      <c r="Z7" s="11">
        <v>9986697126</v>
      </c>
      <c r="AA7" s="12" t="s">
        <v>68</v>
      </c>
      <c r="AB7" s="11" t="s">
        <v>69</v>
      </c>
      <c r="AC7" s="12" t="s">
        <v>70</v>
      </c>
      <c r="AD7" s="11" t="s">
        <v>53</v>
      </c>
      <c r="AE7" s="12" t="s">
        <v>54</v>
      </c>
      <c r="AF7" s="14">
        <v>0.29876039999999998</v>
      </c>
      <c r="AG7" s="11" t="s">
        <v>65</v>
      </c>
    </row>
    <row r="8" spans="1:33" x14ac:dyDescent="0.2">
      <c r="A8" s="8">
        <v>2666</v>
      </c>
      <c r="B8" s="9" t="s">
        <v>33</v>
      </c>
      <c r="C8" s="10">
        <v>43276</v>
      </c>
      <c r="D8" s="11">
        <v>180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73</v>
      </c>
      <c r="J8" s="12" t="s">
        <v>74</v>
      </c>
      <c r="K8" s="13" t="s">
        <v>75</v>
      </c>
      <c r="L8" s="11" t="str">
        <f>"000111"</f>
        <v>000111</v>
      </c>
      <c r="M8" s="10">
        <v>43160</v>
      </c>
      <c r="N8" s="11" t="str">
        <f>"000011"</f>
        <v>000011</v>
      </c>
      <c r="O8" s="10">
        <v>43259</v>
      </c>
      <c r="P8" s="11" t="str">
        <f>"000026"</f>
        <v>000026</v>
      </c>
      <c r="Q8" s="10">
        <v>43262</v>
      </c>
      <c r="R8" s="11">
        <v>18</v>
      </c>
      <c r="S8" s="11" t="str">
        <f>"002811"</f>
        <v>002811</v>
      </c>
      <c r="T8" s="10">
        <v>43271</v>
      </c>
      <c r="U8" s="14">
        <v>19.9496</v>
      </c>
      <c r="V8" s="14">
        <v>2.4365999999999999</v>
      </c>
      <c r="W8" s="14">
        <v>17.513000000000002</v>
      </c>
      <c r="X8" s="11">
        <v>100</v>
      </c>
      <c r="Y8" s="10">
        <v>43276</v>
      </c>
      <c r="Z8" s="11">
        <v>9986697126</v>
      </c>
      <c r="AA8" s="12" t="s">
        <v>68</v>
      </c>
      <c r="AB8" s="11" t="s">
        <v>69</v>
      </c>
      <c r="AC8" s="12" t="s">
        <v>70</v>
      </c>
      <c r="AD8" s="11" t="s">
        <v>53</v>
      </c>
      <c r="AE8" s="12" t="s">
        <v>54</v>
      </c>
      <c r="AF8" s="14">
        <v>0.19949600000000001</v>
      </c>
      <c r="AG8" s="11" t="s">
        <v>65</v>
      </c>
    </row>
    <row r="9" spans="1:33" x14ac:dyDescent="0.2">
      <c r="A9" s="8">
        <v>2667</v>
      </c>
      <c r="B9" s="9" t="s">
        <v>33</v>
      </c>
      <c r="C9" s="10">
        <v>43276</v>
      </c>
      <c r="D9" s="11">
        <v>180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76</v>
      </c>
      <c r="J9" s="12" t="s">
        <v>77</v>
      </c>
      <c r="K9" s="13" t="s">
        <v>49</v>
      </c>
      <c r="L9" s="11" t="str">
        <f>"000112"</f>
        <v>000112</v>
      </c>
      <c r="M9" s="10">
        <v>43160</v>
      </c>
      <c r="N9" s="11" t="str">
        <f>"000012"</f>
        <v>000012</v>
      </c>
      <c r="O9" s="10">
        <v>43259</v>
      </c>
      <c r="P9" s="11" t="str">
        <f>"000027"</f>
        <v>000027</v>
      </c>
      <c r="Q9" s="10">
        <v>43262</v>
      </c>
      <c r="R9" s="11">
        <v>18</v>
      </c>
      <c r="S9" s="11" t="str">
        <f>"002812"</f>
        <v>002812</v>
      </c>
      <c r="T9" s="10">
        <v>43271</v>
      </c>
      <c r="U9" s="14">
        <v>29.849399999999999</v>
      </c>
      <c r="V9" s="14">
        <v>3.6494</v>
      </c>
      <c r="W9" s="14">
        <v>26.2</v>
      </c>
      <c r="X9" s="11">
        <v>100</v>
      </c>
      <c r="Y9" s="10">
        <v>43276</v>
      </c>
      <c r="Z9" s="11">
        <v>9986697126</v>
      </c>
      <c r="AA9" s="12" t="s">
        <v>68</v>
      </c>
      <c r="AB9" s="11" t="s">
        <v>69</v>
      </c>
      <c r="AC9" s="12" t="s">
        <v>70</v>
      </c>
      <c r="AD9" s="11" t="s">
        <v>53</v>
      </c>
      <c r="AE9" s="12" t="s">
        <v>54</v>
      </c>
      <c r="AF9" s="14">
        <v>0.29849399999999998</v>
      </c>
      <c r="AG9" s="11" t="s">
        <v>65</v>
      </c>
    </row>
    <row r="10" spans="1:33" x14ac:dyDescent="0.2">
      <c r="A10" s="8">
        <v>3112</v>
      </c>
      <c r="B10" s="9" t="s">
        <v>78</v>
      </c>
      <c r="C10" s="10">
        <v>43287</v>
      </c>
      <c r="D10" s="11">
        <v>180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79</v>
      </c>
      <c r="J10" s="12" t="s">
        <v>80</v>
      </c>
      <c r="K10" s="13" t="s">
        <v>81</v>
      </c>
      <c r="L10" s="11" t="str">
        <f>"000201"</f>
        <v>000201</v>
      </c>
      <c r="M10" s="10">
        <v>43176</v>
      </c>
      <c r="N10" s="11" t="str">
        <f>"000155"</f>
        <v>000155</v>
      </c>
      <c r="O10" s="10">
        <v>43186</v>
      </c>
      <c r="P10" s="11" t="str">
        <f>"000161"</f>
        <v>000161</v>
      </c>
      <c r="Q10" s="10">
        <v>43187</v>
      </c>
      <c r="R10" s="11">
        <v>17</v>
      </c>
      <c r="S10" s="11" t="str">
        <f>"003352"</f>
        <v>003352</v>
      </c>
      <c r="T10" s="10">
        <v>43286</v>
      </c>
      <c r="U10" s="14">
        <v>7.7519200000000001</v>
      </c>
      <c r="V10" s="14">
        <v>0.24031</v>
      </c>
      <c r="W10" s="14">
        <v>7.5116100000000001</v>
      </c>
      <c r="X10" s="11">
        <v>114</v>
      </c>
      <c r="Y10" s="10">
        <v>43287</v>
      </c>
      <c r="Z10" s="11">
        <v>0</v>
      </c>
      <c r="AA10" s="12" t="s">
        <v>82</v>
      </c>
      <c r="AB10" s="11" t="s">
        <v>83</v>
      </c>
      <c r="AC10" s="12" t="s">
        <v>84</v>
      </c>
      <c r="AD10" s="11" t="s">
        <v>85</v>
      </c>
      <c r="AE10" s="12" t="s">
        <v>86</v>
      </c>
      <c r="AF10" s="14">
        <v>7.7519199999999996E-2</v>
      </c>
      <c r="AG10" s="11" t="s">
        <v>46</v>
      </c>
    </row>
    <row r="11" spans="1:33" x14ac:dyDescent="0.2">
      <c r="A11" s="8">
        <v>3950</v>
      </c>
      <c r="B11" s="9" t="s">
        <v>78</v>
      </c>
      <c r="C11" s="10">
        <v>43305</v>
      </c>
      <c r="D11" s="11">
        <v>180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87</v>
      </c>
      <c r="J11" s="12" t="s">
        <v>88</v>
      </c>
      <c r="K11" s="13" t="s">
        <v>75</v>
      </c>
      <c r="L11" s="11" t="str">
        <f>"000016"</f>
        <v>000016</v>
      </c>
      <c r="M11" s="10">
        <v>41834</v>
      </c>
      <c r="N11" s="11" t="str">
        <f>"000021"</f>
        <v>000021</v>
      </c>
      <c r="O11" s="10">
        <v>42531</v>
      </c>
      <c r="P11" s="11" t="str">
        <f>"000122"</f>
        <v>000122</v>
      </c>
      <c r="Q11" s="10">
        <v>42562</v>
      </c>
      <c r="R11" s="11">
        <v>14</v>
      </c>
      <c r="S11" s="11" t="str">
        <f>"004118"</f>
        <v>004118</v>
      </c>
      <c r="T11" s="10">
        <v>43301</v>
      </c>
      <c r="U11" s="14">
        <v>9.9731000000000005</v>
      </c>
      <c r="V11" s="14">
        <v>1.3564000000000001</v>
      </c>
      <c r="W11" s="14">
        <v>8.6166999999999998</v>
      </c>
      <c r="X11" s="11">
        <v>139</v>
      </c>
      <c r="Y11" s="10">
        <v>43305</v>
      </c>
      <c r="Z11" s="11">
        <v>9986697126</v>
      </c>
      <c r="AA11" s="12" t="s">
        <v>57</v>
      </c>
      <c r="AB11" s="11" t="s">
        <v>89</v>
      </c>
      <c r="AC11" s="12" t="s">
        <v>90</v>
      </c>
      <c r="AD11" s="11" t="s">
        <v>53</v>
      </c>
      <c r="AE11" s="12" t="s">
        <v>54</v>
      </c>
      <c r="AF11" s="14">
        <v>9.9731E-2</v>
      </c>
      <c r="AG11" s="11" t="s">
        <v>46</v>
      </c>
    </row>
    <row r="12" spans="1:33" x14ac:dyDescent="0.2">
      <c r="A12" s="8">
        <v>4898</v>
      </c>
      <c r="B12" s="9" t="s">
        <v>91</v>
      </c>
      <c r="C12" s="10">
        <v>43326</v>
      </c>
      <c r="D12" s="11">
        <v>180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92</v>
      </c>
      <c r="J12" s="12" t="s">
        <v>93</v>
      </c>
      <c r="K12" s="13" t="s">
        <v>94</v>
      </c>
      <c r="L12" s="11" t="str">
        <f>"000030"</f>
        <v>000030</v>
      </c>
      <c r="M12" s="10">
        <v>42585</v>
      </c>
      <c r="N12" s="11" t="str">
        <f>"000012"</f>
        <v>000012</v>
      </c>
      <c r="O12" s="10">
        <v>42998</v>
      </c>
      <c r="P12" s="11" t="str">
        <f>"000051"</f>
        <v>000051</v>
      </c>
      <c r="Q12" s="10">
        <v>43039</v>
      </c>
      <c r="R12" s="11">
        <v>16</v>
      </c>
      <c r="S12" s="11" t="str">
        <f>"005036"</f>
        <v>005036</v>
      </c>
      <c r="T12" s="10">
        <v>43321</v>
      </c>
      <c r="U12" s="14">
        <v>14.15779</v>
      </c>
      <c r="V12" s="14">
        <v>1.3567899999999999</v>
      </c>
      <c r="W12" s="14">
        <v>12.801</v>
      </c>
      <c r="X12" s="11">
        <v>171</v>
      </c>
      <c r="Y12" s="10">
        <v>43326</v>
      </c>
      <c r="Z12" s="11">
        <v>9901698462</v>
      </c>
      <c r="AA12" s="12" t="s">
        <v>95</v>
      </c>
      <c r="AB12" s="11" t="s">
        <v>96</v>
      </c>
      <c r="AC12" s="12" t="s">
        <v>97</v>
      </c>
      <c r="AD12" s="11" t="s">
        <v>53</v>
      </c>
      <c r="AE12" s="12" t="s">
        <v>54</v>
      </c>
      <c r="AF12" s="14">
        <v>0.14157790000000001</v>
      </c>
      <c r="AG12" s="11" t="s">
        <v>46</v>
      </c>
    </row>
    <row r="13" spans="1:33" x14ac:dyDescent="0.2">
      <c r="A13" s="8">
        <v>5337</v>
      </c>
      <c r="B13" s="9" t="s">
        <v>98</v>
      </c>
      <c r="C13" s="10">
        <v>43346</v>
      </c>
      <c r="D13" s="11">
        <v>180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99</v>
      </c>
      <c r="J13" s="12" t="s">
        <v>100</v>
      </c>
      <c r="K13" s="13" t="s">
        <v>49</v>
      </c>
      <c r="L13" s="11" t="str">
        <f>"000011"</f>
        <v>000011</v>
      </c>
      <c r="M13" s="10">
        <v>43278</v>
      </c>
      <c r="N13" s="11" t="str">
        <f>"000036"</f>
        <v>000036</v>
      </c>
      <c r="O13" s="10">
        <v>43330</v>
      </c>
      <c r="P13" s="11" t="str">
        <f>"000070"</f>
        <v>000070</v>
      </c>
      <c r="Q13" s="10">
        <v>43330</v>
      </c>
      <c r="R13" s="11">
        <v>18</v>
      </c>
      <c r="S13" s="11" t="str">
        <f>"005482"</f>
        <v>005482</v>
      </c>
      <c r="T13" s="10">
        <v>43340</v>
      </c>
      <c r="U13" s="14">
        <v>12.89057</v>
      </c>
      <c r="V13" s="14">
        <v>1.60057</v>
      </c>
      <c r="W13" s="14">
        <v>11.29</v>
      </c>
      <c r="X13" s="11">
        <v>187</v>
      </c>
      <c r="Y13" s="10">
        <v>43346</v>
      </c>
      <c r="Z13" s="11">
        <v>9986697126</v>
      </c>
      <c r="AA13" s="12" t="s">
        <v>68</v>
      </c>
      <c r="AB13" s="11" t="s">
        <v>69</v>
      </c>
      <c r="AC13" s="12" t="s">
        <v>70</v>
      </c>
      <c r="AD13" s="11" t="s">
        <v>53</v>
      </c>
      <c r="AE13" s="12" t="s">
        <v>54</v>
      </c>
      <c r="AF13" s="14">
        <f t="shared" ref="AF13:AF25" si="0">U13/100</f>
        <v>0.12890570000000001</v>
      </c>
      <c r="AG13" s="11" t="s">
        <v>101</v>
      </c>
    </row>
    <row r="14" spans="1:33" x14ac:dyDescent="0.2">
      <c r="A14" s="8">
        <v>5423</v>
      </c>
      <c r="B14" s="9" t="s">
        <v>98</v>
      </c>
      <c r="C14" s="10">
        <v>43354</v>
      </c>
      <c r="D14" s="11">
        <v>180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102</v>
      </c>
      <c r="J14" s="12" t="s">
        <v>103</v>
      </c>
      <c r="K14" s="13" t="s">
        <v>49</v>
      </c>
      <c r="L14" s="11" t="str">
        <f>"000012"</f>
        <v>000012</v>
      </c>
      <c r="M14" s="10">
        <v>43278</v>
      </c>
      <c r="N14" s="11" t="str">
        <f>"000037"</f>
        <v>000037</v>
      </c>
      <c r="O14" s="10">
        <v>43330</v>
      </c>
      <c r="P14" s="11" t="str">
        <f>"000071"</f>
        <v>000071</v>
      </c>
      <c r="Q14" s="10">
        <v>43330</v>
      </c>
      <c r="R14" s="11">
        <v>18</v>
      </c>
      <c r="S14" s="11" t="str">
        <f>"005662"</f>
        <v>005662</v>
      </c>
      <c r="T14" s="10">
        <v>43350</v>
      </c>
      <c r="U14" s="14">
        <v>11.01281</v>
      </c>
      <c r="V14" s="14">
        <v>1.3688100000000001</v>
      </c>
      <c r="W14" s="14">
        <v>9.6440000000000001</v>
      </c>
      <c r="X14" s="11">
        <v>197</v>
      </c>
      <c r="Y14" s="10">
        <v>43354</v>
      </c>
      <c r="Z14" s="11">
        <v>9986697126</v>
      </c>
      <c r="AA14" s="12" t="s">
        <v>68</v>
      </c>
      <c r="AB14" s="11" t="s">
        <v>69</v>
      </c>
      <c r="AC14" s="12" t="s">
        <v>70</v>
      </c>
      <c r="AD14" s="11" t="s">
        <v>53</v>
      </c>
      <c r="AE14" s="12" t="s">
        <v>54</v>
      </c>
      <c r="AF14" s="14">
        <f t="shared" si="0"/>
        <v>0.11012810000000001</v>
      </c>
      <c r="AG14" s="11" t="s">
        <v>101</v>
      </c>
    </row>
    <row r="15" spans="1:33" x14ac:dyDescent="0.2">
      <c r="A15" s="8">
        <v>5424</v>
      </c>
      <c r="B15" s="9" t="s">
        <v>98</v>
      </c>
      <c r="C15" s="10">
        <v>43354</v>
      </c>
      <c r="D15" s="11">
        <v>180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104</v>
      </c>
      <c r="J15" s="12" t="s">
        <v>105</v>
      </c>
      <c r="K15" s="13" t="s">
        <v>49</v>
      </c>
      <c r="L15" s="11" t="str">
        <f>"000013"</f>
        <v>000013</v>
      </c>
      <c r="M15" s="10">
        <v>43278</v>
      </c>
      <c r="N15" s="11" t="str">
        <f>"000039"</f>
        <v>000039</v>
      </c>
      <c r="O15" s="10">
        <v>43330</v>
      </c>
      <c r="P15" s="11" t="str">
        <f>"000073"</f>
        <v>000073</v>
      </c>
      <c r="Q15" s="10">
        <v>43330</v>
      </c>
      <c r="R15" s="11">
        <v>18</v>
      </c>
      <c r="S15" s="11" t="str">
        <f>"005663"</f>
        <v>005663</v>
      </c>
      <c r="T15" s="10">
        <v>43350</v>
      </c>
      <c r="U15" s="14">
        <v>12.33081</v>
      </c>
      <c r="V15" s="14">
        <v>1.4678100000000001</v>
      </c>
      <c r="W15" s="14">
        <v>10.863</v>
      </c>
      <c r="X15" s="11">
        <v>197</v>
      </c>
      <c r="Y15" s="10">
        <v>43354</v>
      </c>
      <c r="Z15" s="11">
        <v>9986697126</v>
      </c>
      <c r="AA15" s="12" t="s">
        <v>68</v>
      </c>
      <c r="AB15" s="11" t="s">
        <v>69</v>
      </c>
      <c r="AC15" s="12" t="s">
        <v>70</v>
      </c>
      <c r="AD15" s="11" t="s">
        <v>53</v>
      </c>
      <c r="AE15" s="12" t="s">
        <v>54</v>
      </c>
      <c r="AF15" s="14">
        <f t="shared" si="0"/>
        <v>0.12330809999999999</v>
      </c>
      <c r="AG15" s="11" t="s">
        <v>101</v>
      </c>
    </row>
    <row r="16" spans="1:33" x14ac:dyDescent="0.2">
      <c r="A16" s="8">
        <v>5565</v>
      </c>
      <c r="B16" s="9" t="s">
        <v>98</v>
      </c>
      <c r="C16" s="10">
        <v>43363</v>
      </c>
      <c r="D16" s="11">
        <v>180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106</v>
      </c>
      <c r="J16" s="12" t="s">
        <v>107</v>
      </c>
      <c r="K16" s="13" t="s">
        <v>49</v>
      </c>
      <c r="L16" s="11" t="str">
        <f>"000014"</f>
        <v>000014</v>
      </c>
      <c r="M16" s="10">
        <v>43278</v>
      </c>
      <c r="N16" s="11" t="str">
        <f>"000035"</f>
        <v>000035</v>
      </c>
      <c r="O16" s="10">
        <v>43330</v>
      </c>
      <c r="P16" s="11" t="str">
        <f>"000069"</f>
        <v>000069</v>
      </c>
      <c r="Q16" s="10">
        <v>43330</v>
      </c>
      <c r="R16" s="11">
        <v>18</v>
      </c>
      <c r="S16" s="11" t="str">
        <f>"005761"</f>
        <v>005761</v>
      </c>
      <c r="T16" s="10">
        <v>43358</v>
      </c>
      <c r="U16" s="14">
        <v>11.11645</v>
      </c>
      <c r="V16" s="14">
        <v>1.39645</v>
      </c>
      <c r="W16" s="14">
        <v>9.7200000000000006</v>
      </c>
      <c r="X16" s="11">
        <v>209</v>
      </c>
      <c r="Y16" s="10">
        <v>43363</v>
      </c>
      <c r="Z16" s="11">
        <v>9986697126</v>
      </c>
      <c r="AA16" s="12" t="s">
        <v>68</v>
      </c>
      <c r="AB16" s="11" t="s">
        <v>69</v>
      </c>
      <c r="AC16" s="12" t="s">
        <v>70</v>
      </c>
      <c r="AD16" s="11" t="s">
        <v>53</v>
      </c>
      <c r="AE16" s="12" t="s">
        <v>54</v>
      </c>
      <c r="AF16" s="14">
        <f t="shared" si="0"/>
        <v>0.1111645</v>
      </c>
      <c r="AG16" s="11" t="s">
        <v>101</v>
      </c>
    </row>
    <row r="17" spans="1:33" x14ac:dyDescent="0.2">
      <c r="A17" s="8">
        <v>5566</v>
      </c>
      <c r="B17" s="9" t="s">
        <v>98</v>
      </c>
      <c r="C17" s="10">
        <v>43363</v>
      </c>
      <c r="D17" s="11">
        <v>180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108</v>
      </c>
      <c r="J17" s="12" t="s">
        <v>109</v>
      </c>
      <c r="K17" s="13" t="s">
        <v>49</v>
      </c>
      <c r="L17" s="11" t="str">
        <f>"000010"</f>
        <v>000010</v>
      </c>
      <c r="M17" s="10">
        <v>43278</v>
      </c>
      <c r="N17" s="11" t="str">
        <f>"000038"</f>
        <v>000038</v>
      </c>
      <c r="O17" s="10">
        <v>43330</v>
      </c>
      <c r="P17" s="11" t="str">
        <f>"000072"</f>
        <v>000072</v>
      </c>
      <c r="Q17" s="10">
        <v>43330</v>
      </c>
      <c r="R17" s="11">
        <v>18</v>
      </c>
      <c r="S17" s="11" t="str">
        <f>"005762"</f>
        <v>005762</v>
      </c>
      <c r="T17" s="10">
        <v>43358</v>
      </c>
      <c r="U17" s="14">
        <v>18.930409999999998</v>
      </c>
      <c r="V17" s="14">
        <v>2.3134100000000002</v>
      </c>
      <c r="W17" s="14">
        <v>16.617000000000001</v>
      </c>
      <c r="X17" s="11">
        <v>209</v>
      </c>
      <c r="Y17" s="10">
        <v>43363</v>
      </c>
      <c r="Z17" s="11">
        <v>9986697126</v>
      </c>
      <c r="AA17" s="12" t="s">
        <v>68</v>
      </c>
      <c r="AB17" s="11" t="s">
        <v>69</v>
      </c>
      <c r="AC17" s="12" t="s">
        <v>70</v>
      </c>
      <c r="AD17" s="11" t="s">
        <v>53</v>
      </c>
      <c r="AE17" s="12" t="s">
        <v>54</v>
      </c>
      <c r="AF17" s="14">
        <f t="shared" si="0"/>
        <v>0.18930409999999998</v>
      </c>
      <c r="AG17" s="11" t="s">
        <v>101</v>
      </c>
    </row>
    <row r="18" spans="1:33" x14ac:dyDescent="0.2">
      <c r="A18" s="8">
        <v>7120</v>
      </c>
      <c r="B18" s="9" t="s">
        <v>110</v>
      </c>
      <c r="C18" s="10">
        <v>43404</v>
      </c>
      <c r="D18" s="11">
        <v>180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111</v>
      </c>
      <c r="J18" s="12" t="s">
        <v>112</v>
      </c>
      <c r="K18" s="13" t="s">
        <v>75</v>
      </c>
      <c r="L18" s="11" t="str">
        <f>"000074"</f>
        <v>000074</v>
      </c>
      <c r="M18" s="10">
        <v>43361</v>
      </c>
      <c r="N18" s="11" t="str">
        <f>"000087"</f>
        <v>000087</v>
      </c>
      <c r="O18" s="10">
        <v>43361</v>
      </c>
      <c r="P18" s="11" t="str">
        <f>"000089"</f>
        <v>000089</v>
      </c>
      <c r="Q18" s="10">
        <v>43361</v>
      </c>
      <c r="R18" s="11">
        <v>18</v>
      </c>
      <c r="S18" s="11" t="str">
        <f>"007175"</f>
        <v>007175</v>
      </c>
      <c r="T18" s="10">
        <v>43403</v>
      </c>
      <c r="U18" s="14">
        <v>9.9825099999999996</v>
      </c>
      <c r="V18" s="14">
        <v>1.0581499999999999</v>
      </c>
      <c r="W18" s="14">
        <v>8.9243600000000001</v>
      </c>
      <c r="X18" s="11">
        <v>256</v>
      </c>
      <c r="Y18" s="10">
        <v>43404</v>
      </c>
      <c r="Z18" s="11">
        <v>0</v>
      </c>
      <c r="AA18" s="12" t="s">
        <v>113</v>
      </c>
      <c r="AB18" s="11" t="s">
        <v>114</v>
      </c>
      <c r="AC18" s="12" t="s">
        <v>115</v>
      </c>
      <c r="AD18" s="11" t="s">
        <v>85</v>
      </c>
      <c r="AE18" s="12" t="s">
        <v>86</v>
      </c>
      <c r="AF18" s="14">
        <f t="shared" si="0"/>
        <v>9.98251E-2</v>
      </c>
      <c r="AG18" s="11" t="s">
        <v>101</v>
      </c>
    </row>
    <row r="19" spans="1:33" x14ac:dyDescent="0.2">
      <c r="A19" s="8">
        <v>9767</v>
      </c>
      <c r="B19" s="9" t="s">
        <v>116</v>
      </c>
      <c r="C19" s="10">
        <v>43544</v>
      </c>
      <c r="D19" s="11">
        <v>180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99</v>
      </c>
      <c r="J19" s="12" t="s">
        <v>100</v>
      </c>
      <c r="K19" s="13" t="s">
        <v>49</v>
      </c>
      <c r="L19" s="11" t="str">
        <f>"000011"</f>
        <v>000011</v>
      </c>
      <c r="M19" s="10">
        <v>43278</v>
      </c>
      <c r="N19" s="11" t="str">
        <f>"000059"</f>
        <v>000059</v>
      </c>
      <c r="O19" s="10">
        <v>43383</v>
      </c>
      <c r="P19" s="11" t="str">
        <f>"000111"</f>
        <v>000111</v>
      </c>
      <c r="Q19" s="10">
        <v>43384</v>
      </c>
      <c r="R19" s="11"/>
      <c r="S19" s="11" t="str">
        <f>"009651"</f>
        <v>009651</v>
      </c>
      <c r="T19" s="10">
        <v>43536</v>
      </c>
      <c r="U19" s="14">
        <v>7.1062500000000002</v>
      </c>
      <c r="V19" s="14">
        <v>0.43924999999999997</v>
      </c>
      <c r="W19" s="14">
        <v>6.6669999999999998</v>
      </c>
      <c r="X19" s="11">
        <v>379</v>
      </c>
      <c r="Y19" s="10">
        <v>43544</v>
      </c>
      <c r="Z19" s="11">
        <v>9986697126</v>
      </c>
      <c r="AA19" s="12" t="s">
        <v>68</v>
      </c>
      <c r="AB19" s="11" t="s">
        <v>69</v>
      </c>
      <c r="AC19" s="12" t="s">
        <v>70</v>
      </c>
      <c r="AD19" s="11" t="s">
        <v>53</v>
      </c>
      <c r="AE19" s="12" t="s">
        <v>54</v>
      </c>
      <c r="AF19" s="14">
        <f t="shared" si="0"/>
        <v>7.1062500000000001E-2</v>
      </c>
      <c r="AG19" s="11" t="s">
        <v>101</v>
      </c>
    </row>
    <row r="20" spans="1:33" x14ac:dyDescent="0.2">
      <c r="A20" s="8">
        <v>9768</v>
      </c>
      <c r="B20" s="9" t="s">
        <v>116</v>
      </c>
      <c r="C20" s="10">
        <v>43544</v>
      </c>
      <c r="D20" s="11">
        <v>180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106</v>
      </c>
      <c r="J20" s="12" t="s">
        <v>107</v>
      </c>
      <c r="K20" s="13" t="s">
        <v>49</v>
      </c>
      <c r="L20" s="11" t="str">
        <f>"000014"</f>
        <v>000014</v>
      </c>
      <c r="M20" s="10">
        <v>43278</v>
      </c>
      <c r="N20" s="11" t="str">
        <f>"000058"</f>
        <v>000058</v>
      </c>
      <c r="O20" s="10">
        <v>43383</v>
      </c>
      <c r="P20" s="11" t="str">
        <f>"000110"</f>
        <v>000110</v>
      </c>
      <c r="Q20" s="10">
        <v>43384</v>
      </c>
      <c r="R20" s="11"/>
      <c r="S20" s="11" t="str">
        <f>"009652"</f>
        <v>009652</v>
      </c>
      <c r="T20" s="10">
        <v>43536</v>
      </c>
      <c r="U20" s="14">
        <v>8.8720400000000001</v>
      </c>
      <c r="V20" s="14">
        <v>0.67203999999999997</v>
      </c>
      <c r="W20" s="14">
        <v>8.1999999999999993</v>
      </c>
      <c r="X20" s="11">
        <v>379</v>
      </c>
      <c r="Y20" s="10">
        <v>43544</v>
      </c>
      <c r="Z20" s="11">
        <v>9986697126</v>
      </c>
      <c r="AA20" s="12" t="s">
        <v>68</v>
      </c>
      <c r="AB20" s="11" t="s">
        <v>69</v>
      </c>
      <c r="AC20" s="12" t="s">
        <v>70</v>
      </c>
      <c r="AD20" s="11" t="s">
        <v>53</v>
      </c>
      <c r="AE20" s="12" t="s">
        <v>54</v>
      </c>
      <c r="AF20" s="14">
        <f t="shared" si="0"/>
        <v>8.8720400000000005E-2</v>
      </c>
      <c r="AG20" s="11" t="s">
        <v>101</v>
      </c>
    </row>
    <row r="21" spans="1:33" x14ac:dyDescent="0.2">
      <c r="A21" s="8">
        <v>9769</v>
      </c>
      <c r="B21" s="9" t="s">
        <v>116</v>
      </c>
      <c r="C21" s="10">
        <v>43544</v>
      </c>
      <c r="D21" s="11">
        <v>180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102</v>
      </c>
      <c r="J21" s="12" t="s">
        <v>103</v>
      </c>
      <c r="K21" s="13" t="s">
        <v>49</v>
      </c>
      <c r="L21" s="11" t="str">
        <f>"000012"</f>
        <v>000012</v>
      </c>
      <c r="M21" s="10">
        <v>43278</v>
      </c>
      <c r="N21" s="11" t="str">
        <f>"000060"</f>
        <v>000060</v>
      </c>
      <c r="O21" s="10">
        <v>43383</v>
      </c>
      <c r="P21" s="11" t="str">
        <f>"000112"</f>
        <v>000112</v>
      </c>
      <c r="Q21" s="10">
        <v>43384</v>
      </c>
      <c r="R21" s="11"/>
      <c r="S21" s="11" t="str">
        <f>"009653"</f>
        <v>009653</v>
      </c>
      <c r="T21" s="10">
        <v>43536</v>
      </c>
      <c r="U21" s="14">
        <v>8.9828200000000002</v>
      </c>
      <c r="V21" s="14">
        <v>0.68881999999999999</v>
      </c>
      <c r="W21" s="14">
        <v>8.2940000000000005</v>
      </c>
      <c r="X21" s="11">
        <v>379</v>
      </c>
      <c r="Y21" s="10">
        <v>43544</v>
      </c>
      <c r="Z21" s="11">
        <v>9986697126</v>
      </c>
      <c r="AA21" s="12" t="s">
        <v>68</v>
      </c>
      <c r="AB21" s="11" t="s">
        <v>69</v>
      </c>
      <c r="AC21" s="12" t="s">
        <v>70</v>
      </c>
      <c r="AD21" s="11" t="s">
        <v>53</v>
      </c>
      <c r="AE21" s="12" t="s">
        <v>54</v>
      </c>
      <c r="AF21" s="14">
        <f t="shared" si="0"/>
        <v>8.9828199999999997E-2</v>
      </c>
      <c r="AG21" s="11" t="s">
        <v>101</v>
      </c>
    </row>
    <row r="22" spans="1:33" x14ac:dyDescent="0.2">
      <c r="A22" s="8">
        <v>9770</v>
      </c>
      <c r="B22" s="9" t="s">
        <v>116</v>
      </c>
      <c r="C22" s="10">
        <v>43544</v>
      </c>
      <c r="D22" s="11">
        <v>180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108</v>
      </c>
      <c r="J22" s="12" t="s">
        <v>109</v>
      </c>
      <c r="K22" s="13" t="s">
        <v>49</v>
      </c>
      <c r="L22" s="11" t="str">
        <f>"000010"</f>
        <v>000010</v>
      </c>
      <c r="M22" s="10">
        <v>43278</v>
      </c>
      <c r="N22" s="11" t="str">
        <f>"000061"</f>
        <v>000061</v>
      </c>
      <c r="O22" s="10">
        <v>43383</v>
      </c>
      <c r="P22" s="11" t="str">
        <f>"000113"</f>
        <v>000113</v>
      </c>
      <c r="Q22" s="10">
        <v>43384</v>
      </c>
      <c r="R22" s="11"/>
      <c r="S22" s="11" t="str">
        <f>"009654"</f>
        <v>009654</v>
      </c>
      <c r="T22" s="10">
        <v>43536</v>
      </c>
      <c r="U22" s="14">
        <v>1.0688599999999999</v>
      </c>
      <c r="V22" s="14">
        <v>7.886E-2</v>
      </c>
      <c r="W22" s="14">
        <v>0.99</v>
      </c>
      <c r="X22" s="11">
        <v>379</v>
      </c>
      <c r="Y22" s="10">
        <v>43544</v>
      </c>
      <c r="Z22" s="11">
        <v>9986697126</v>
      </c>
      <c r="AA22" s="12" t="s">
        <v>68</v>
      </c>
      <c r="AB22" s="11" t="s">
        <v>69</v>
      </c>
      <c r="AC22" s="12" t="s">
        <v>70</v>
      </c>
      <c r="AD22" s="11" t="s">
        <v>53</v>
      </c>
      <c r="AE22" s="12" t="s">
        <v>54</v>
      </c>
      <c r="AF22" s="14">
        <f t="shared" si="0"/>
        <v>1.0688599999999999E-2</v>
      </c>
      <c r="AG22" s="11" t="s">
        <v>101</v>
      </c>
    </row>
    <row r="23" spans="1:33" x14ac:dyDescent="0.2">
      <c r="A23" s="8">
        <v>9771</v>
      </c>
      <c r="B23" s="9" t="s">
        <v>116</v>
      </c>
      <c r="C23" s="10">
        <v>43544</v>
      </c>
      <c r="D23" s="11">
        <v>180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104</v>
      </c>
      <c r="J23" s="12" t="s">
        <v>105</v>
      </c>
      <c r="K23" s="13" t="s">
        <v>49</v>
      </c>
      <c r="L23" s="11" t="str">
        <f>"000013"</f>
        <v>000013</v>
      </c>
      <c r="M23" s="10">
        <v>43278</v>
      </c>
      <c r="N23" s="11" t="str">
        <f>"000062"</f>
        <v>000062</v>
      </c>
      <c r="O23" s="10">
        <v>43383</v>
      </c>
      <c r="P23" s="11" t="str">
        <f>"000114"</f>
        <v>000114</v>
      </c>
      <c r="Q23" s="10">
        <v>43384</v>
      </c>
      <c r="R23" s="11"/>
      <c r="S23" s="11" t="str">
        <f>"009655"</f>
        <v>009655</v>
      </c>
      <c r="T23" s="10">
        <v>43536</v>
      </c>
      <c r="U23" s="14">
        <v>7.6370899999999997</v>
      </c>
      <c r="V23" s="14">
        <v>0.54508999999999996</v>
      </c>
      <c r="W23" s="14">
        <v>7.0919999999999996</v>
      </c>
      <c r="X23" s="11">
        <v>379</v>
      </c>
      <c r="Y23" s="10">
        <v>43544</v>
      </c>
      <c r="Z23" s="11">
        <v>9986697126</v>
      </c>
      <c r="AA23" s="12" t="s">
        <v>68</v>
      </c>
      <c r="AB23" s="11" t="s">
        <v>69</v>
      </c>
      <c r="AC23" s="12" t="s">
        <v>70</v>
      </c>
      <c r="AD23" s="11" t="s">
        <v>53</v>
      </c>
      <c r="AE23" s="12" t="s">
        <v>54</v>
      </c>
      <c r="AF23" s="14">
        <f t="shared" si="0"/>
        <v>7.6370899999999992E-2</v>
      </c>
      <c r="AG23" s="11" t="s">
        <v>101</v>
      </c>
    </row>
    <row r="24" spans="1:33" x14ac:dyDescent="0.2">
      <c r="A24" s="8">
        <v>9812</v>
      </c>
      <c r="B24" s="9" t="s">
        <v>116</v>
      </c>
      <c r="C24" s="10">
        <v>43546</v>
      </c>
      <c r="D24" s="11">
        <v>180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117</v>
      </c>
      <c r="J24" s="12" t="s">
        <v>118</v>
      </c>
      <c r="K24" s="15" t="s">
        <v>119</v>
      </c>
      <c r="L24" s="11" t="str">
        <f>"000127"</f>
        <v>000127</v>
      </c>
      <c r="M24" s="10">
        <v>43400</v>
      </c>
      <c r="N24" s="11" t="str">
        <f>"000091"</f>
        <v>000091</v>
      </c>
      <c r="O24" s="10">
        <v>43508</v>
      </c>
      <c r="P24" s="11" t="str">
        <f>"000186"</f>
        <v>000186</v>
      </c>
      <c r="Q24" s="10">
        <v>43509</v>
      </c>
      <c r="R24" s="11"/>
      <c r="S24" s="11" t="str">
        <f>"009824"</f>
        <v>009824</v>
      </c>
      <c r="T24" s="10">
        <v>43544</v>
      </c>
      <c r="U24" s="14">
        <v>4.9802799999999996</v>
      </c>
      <c r="V24" s="14">
        <v>0.49828</v>
      </c>
      <c r="W24" s="14">
        <v>4.4820000000000002</v>
      </c>
      <c r="X24" s="11">
        <v>382</v>
      </c>
      <c r="Y24" s="10">
        <v>43546</v>
      </c>
      <c r="Z24" s="11">
        <v>9986697126</v>
      </c>
      <c r="AA24" s="12" t="s">
        <v>68</v>
      </c>
      <c r="AB24" s="11" t="s">
        <v>120</v>
      </c>
      <c r="AC24" s="12" t="s">
        <v>121</v>
      </c>
      <c r="AD24" s="11" t="s">
        <v>53</v>
      </c>
      <c r="AE24" s="12" t="s">
        <v>54</v>
      </c>
      <c r="AF24" s="14">
        <f t="shared" si="0"/>
        <v>4.9802799999999994E-2</v>
      </c>
      <c r="AG24" s="11" t="s">
        <v>101</v>
      </c>
    </row>
    <row r="25" spans="1:33" x14ac:dyDescent="0.2">
      <c r="A25" s="8">
        <v>9813</v>
      </c>
      <c r="B25" s="9" t="s">
        <v>116</v>
      </c>
      <c r="C25" s="10">
        <v>43546</v>
      </c>
      <c r="D25" s="11">
        <v>180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122</v>
      </c>
      <c r="J25" s="12" t="s">
        <v>123</v>
      </c>
      <c r="K25" s="15" t="s">
        <v>94</v>
      </c>
      <c r="L25" s="11" t="str">
        <f>"000126"</f>
        <v>000126</v>
      </c>
      <c r="M25" s="10">
        <v>43400</v>
      </c>
      <c r="N25" s="11" t="str">
        <f>"000090"</f>
        <v>000090</v>
      </c>
      <c r="O25" s="10">
        <v>43508</v>
      </c>
      <c r="P25" s="11" t="str">
        <f>"000185"</f>
        <v>000185</v>
      </c>
      <c r="Q25" s="10">
        <v>43509</v>
      </c>
      <c r="R25" s="11"/>
      <c r="S25" s="11" t="str">
        <f>"009825"</f>
        <v>009825</v>
      </c>
      <c r="T25" s="10">
        <v>43544</v>
      </c>
      <c r="U25" s="14">
        <v>19.849720000000001</v>
      </c>
      <c r="V25" s="14">
        <v>1.9797199999999999</v>
      </c>
      <c r="W25" s="14">
        <v>17.87</v>
      </c>
      <c r="X25" s="11">
        <v>382</v>
      </c>
      <c r="Y25" s="10">
        <v>43546</v>
      </c>
      <c r="Z25" s="11">
        <v>9986697126</v>
      </c>
      <c r="AA25" s="12" t="s">
        <v>68</v>
      </c>
      <c r="AB25" s="11" t="s">
        <v>124</v>
      </c>
      <c r="AC25" s="12" t="s">
        <v>125</v>
      </c>
      <c r="AD25" s="11" t="s">
        <v>53</v>
      </c>
      <c r="AE25" s="12" t="s">
        <v>54</v>
      </c>
      <c r="AF25" s="14">
        <f t="shared" si="0"/>
        <v>0.19849720000000001</v>
      </c>
      <c r="AG25" s="11" t="s">
        <v>101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2019-06-14T08:43:38Z</dcterms:modified>
</cp:coreProperties>
</file>