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1" i="1" l="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<sst xmlns="http://schemas.openxmlformats.org/spreadsheetml/2006/main" count="593" uniqueCount="179">
  <si>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</si>
  <si>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</si>
  <si>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</si>
  <si>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</si>
  <si>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</si>
  <si>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</si>
  <si>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</si>
  <si>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</si>
  <si>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</si>
  <si>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</si>
  <si>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</si>
  <si>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</si>
  <si>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</si>
  <si>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</si>
  <si>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</si>
  <si>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</si>
  <si>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</si>
  <si>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</si>
  <si>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</si>
  <si>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</si>
  <si>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</si>
  <si>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</si>
  <si>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</si>
  <si>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</si>
  <si>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</si>
  <si>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</si>
  <si>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</si>
  <si>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</si>
  <si>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</si>
  <si>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</si>
  <si>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</si>
  <si>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</si>
  <si>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</si>
  <si>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</si>
  <si>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Yelchena Halli</t>
  </si>
  <si>
    <t>Uttarahalli</t>
  </si>
  <si>
    <t>Bengaluru South</t>
  </si>
  <si>
    <t>Bommana Halli</t>
  </si>
  <si>
    <t>185-17-000038</t>
  </si>
  <si>
    <t>Improvements to masjid Roads and drains of Kanakanagara in Ward No 185</t>
  </si>
  <si>
    <t>Roads &amp; Drivablility</t>
  </si>
  <si>
    <t>Sri B K Vinod Kumar</t>
  </si>
  <si>
    <t>P3158</t>
  </si>
  <si>
    <t>SIP Infrastructure Project works</t>
  </si>
  <si>
    <t>ddo445</t>
  </si>
  <si>
    <t xml:space="preserve"> Assistant Executive Engineer Uttharahalli  sub Division Bomanahalli Zone</t>
  </si>
  <si>
    <t>Pending</t>
  </si>
  <si>
    <t>185-17-000037</t>
  </si>
  <si>
    <t>Improvements to 1st cross Road to 5th Cross road and drains of Ramakrishnanagara in Ward No 185</t>
  </si>
  <si>
    <t>185-17-000039</t>
  </si>
  <si>
    <t>Improvements to 2nd cross road to 5th cross roads and drains of Kashinagara in Ward No 185</t>
  </si>
  <si>
    <t>185-17-000029</t>
  </si>
  <si>
    <t>Development and improvements to works in Yelchenahalli ward no 185</t>
  </si>
  <si>
    <t>Other Ward Works</t>
  </si>
  <si>
    <t>Sri Srinivasa Construction india pvt ltd</t>
  </si>
  <si>
    <t>185-17-000040</t>
  </si>
  <si>
    <t xml:space="preserve">Providing and fixing of LED Street lights in Ward No 185 in Bangalore South Division </t>
  </si>
  <si>
    <t>Footpaths &amp; Walkability</t>
  </si>
  <si>
    <t>Ms. Sri Durga Enterprises.</t>
  </si>
  <si>
    <t>P3110</t>
  </si>
  <si>
    <t>14th Finance Commission Grant Works</t>
  </si>
  <si>
    <t>ddo439</t>
  </si>
  <si>
    <t xml:space="preserve"> Executive Engineer Electrical Division Bomanahalli Zone</t>
  </si>
  <si>
    <t>185-17-000052</t>
  </si>
  <si>
    <t>Engagement of Gangman and Hiring of Troctor Tippers for maintenance of road side drains and other civil works in ward no 185 Yelechenahalli</t>
  </si>
  <si>
    <t>Ramamurthy L</t>
  </si>
  <si>
    <t>May</t>
  </si>
  <si>
    <t>185-17-000027</t>
  </si>
  <si>
    <t>Drilling of 165mm dia New Borewell and Providing electrification and distribution of pipe line in ward no.185 Yelechenahalli</t>
  </si>
  <si>
    <t>Drinking Water</t>
  </si>
  <si>
    <t>SURESH B N</t>
  </si>
  <si>
    <t>P1802</t>
  </si>
  <si>
    <t>Water Supply New Areas</t>
  </si>
  <si>
    <t>185-17-000050</t>
  </si>
  <si>
    <t>Improvements to cross Roads, drains and Providing covering slab at Nanjappa layout in Ward No 185</t>
  </si>
  <si>
    <t>KRIDL</t>
  </si>
  <si>
    <t>P3089</t>
  </si>
  <si>
    <t>Special Development works in 7 CMC and 1 TMC area in BBMP</t>
  </si>
  <si>
    <t>185-17-000035</t>
  </si>
  <si>
    <t>Improvements to Corss Roads of Kumarswamy layout behind balamuri temple in Ward No 185</t>
  </si>
  <si>
    <t>185-16-000026</t>
  </si>
  <si>
    <t>Improvement to roads and providing asphalting in Nanjappa layout main road from HDFC Bank in Yelachenahalli Ward No.185</t>
  </si>
  <si>
    <t>Ramu K S</t>
  </si>
  <si>
    <t>185-16-000023</t>
  </si>
  <si>
    <t xml:space="preserve">Construction of Road behind Alliance Automation Building near Bikasipura Main Road in Yelachenahalli Ward No.185 </t>
  </si>
  <si>
    <t>RAVI KUMAR S</t>
  </si>
  <si>
    <t>185-16-000014</t>
  </si>
  <si>
    <t>Providing drinking water through water tankers in yelechenahalli in ward no 185</t>
  </si>
  <si>
    <t>V BABU</t>
  </si>
  <si>
    <t>June</t>
  </si>
  <si>
    <t>185-17-000014</t>
  </si>
  <si>
    <t>Pothole filling in ward no.185 Yelechenahalli</t>
  </si>
  <si>
    <t>M/s Saitrisha Infraengineering Pvt. Ltd, Prop. Sri Nagesh M</t>
  </si>
  <si>
    <t>P1771</t>
  </si>
  <si>
    <t>Zone Works - POW Works</t>
  </si>
  <si>
    <t>185-17-000018</t>
  </si>
  <si>
    <t>Water &amp; Sanitary</t>
  </si>
  <si>
    <t>M Srinivas</t>
  </si>
  <si>
    <t>July</t>
  </si>
  <si>
    <t>185-17-000036</t>
  </si>
  <si>
    <t>Improvements to Roads and drains of 1st, 2nd 3rd and 4th cross roads of Ramaiah Nagara in Ward No 185</t>
  </si>
  <si>
    <t>Spill Over</t>
  </si>
  <si>
    <t>185-16-000001</t>
  </si>
  <si>
    <t>Annual Operation and Maintenance of street lighting system in ward no-185 Package B4 of Bommanahalli zone.</t>
  </si>
  <si>
    <t>M/s Sri Durga Enterprises</t>
  </si>
  <si>
    <t>P0300</t>
  </si>
  <si>
    <t>M and R to Street Lights - Replacement of Burnt Bulbs etc. (Package)</t>
  </si>
  <si>
    <t>Current</t>
  </si>
  <si>
    <t>185-16-000031</t>
  </si>
  <si>
    <t>Improvements road and drains at Kashi nagara in ward no 185</t>
  </si>
  <si>
    <t>kridl</t>
  </si>
  <si>
    <t>P0190</t>
  </si>
  <si>
    <t>Works sanctioned by Hon Mayor</t>
  </si>
  <si>
    <t>August</t>
  </si>
  <si>
    <t>185-16-000032</t>
  </si>
  <si>
    <t>Improvements road and drains at Kananka nagara in ward no 185</t>
  </si>
  <si>
    <t>185-16-000038</t>
  </si>
  <si>
    <t>Improvements to roads and drains in Yelechenahalli ward no 185</t>
  </si>
  <si>
    <t>mohit gowda s</t>
  </si>
  <si>
    <t>P3071</t>
  </si>
  <si>
    <t>Development of Backward regions of Muncipal area under BBMP limits</t>
  </si>
  <si>
    <t>September</t>
  </si>
  <si>
    <t>185-17-000007</t>
  </si>
  <si>
    <t>Maintenance and Desilting of drain at Yelechenahalli and surroundings in ward no 185</t>
  </si>
  <si>
    <t>P2178</t>
  </si>
  <si>
    <t>Works sanctioned by Dy. Mayor</t>
  </si>
  <si>
    <t>185-17-000006</t>
  </si>
  <si>
    <t>Maintenance and Desilting of drain at Kanakapura main road and surroundings in ward no 185</t>
  </si>
  <si>
    <t>185-17-000054</t>
  </si>
  <si>
    <t>Providing Modren Dust Bin in Bangalore City in ward no 185</t>
  </si>
  <si>
    <t>BHARATH S</t>
  </si>
  <si>
    <t>ddo438</t>
  </si>
  <si>
    <t xml:space="preserve"> Executive Engineer Project Division Bomanahalli Zone</t>
  </si>
  <si>
    <t>October</t>
  </si>
  <si>
    <t>185-17-000025</t>
  </si>
  <si>
    <t>Providing CC roads in Geetha colony in ward no.185 Yelechenahalli</t>
  </si>
  <si>
    <t>MOHAN L</t>
  </si>
  <si>
    <t>November</t>
  </si>
  <si>
    <t>185-17-000028</t>
  </si>
  <si>
    <t>Providing Drinking Water through water tankers in ward no.185 Yelechenahalli</t>
  </si>
  <si>
    <t>185-17-000017</t>
  </si>
  <si>
    <t>Maintaince and Repairs to Culvert and drains works in ward no185 Yelechenahalli</t>
  </si>
  <si>
    <t>L MOHAN</t>
  </si>
  <si>
    <t>185-16-000024</t>
  </si>
  <si>
    <t>Improvement to roads and providing asphalting to cross roads of Bikasipura main road near Sri Vinayaka temple in Yelachenahalli Ward No.185</t>
  </si>
  <si>
    <t>Vijay Kumar A</t>
  </si>
  <si>
    <t>185-16-000030</t>
  </si>
  <si>
    <t>Improvement to roads and providing asphalting roads near puttegowda house and surrounding cross roads in Nanjappa Layout in Yelachenahalli Ward No.185</t>
  </si>
  <si>
    <t>185-16-000025</t>
  </si>
  <si>
    <t>Improvement to roads and providing asphalting to cross roads and main roads infront of Om Shakthi Temple in Yelachenahalli Ward No.185</t>
  </si>
  <si>
    <t>185-16-000027</t>
  </si>
  <si>
    <t>Improvement to roads and providing asphalting in Post Office Main Road in Yelachenahalli Ward No.185</t>
  </si>
  <si>
    <t>185-16-000029</t>
  </si>
  <si>
    <t>Improvement to roads and providing asphalting in Harsha School Main Road and Cross Roads at Kashinagara in Yelachenahalli Ward No.185</t>
  </si>
  <si>
    <t>December</t>
  </si>
  <si>
    <t>185-17-000019</t>
  </si>
  <si>
    <t>Providing RCC Drains and CC roads in Ramakrishnanagara cross roads in ward no.185 Yelechenahalli</t>
  </si>
  <si>
    <t xml:space="preserve">Prakash </t>
  </si>
  <si>
    <t>185-17-000023</t>
  </si>
  <si>
    <t>Improvementa to RCC drain and CC roads in cross roads Kanakanagara in ward no.185 Yelechenahalli</t>
  </si>
  <si>
    <t>PRAKASH</t>
  </si>
  <si>
    <t>January</t>
  </si>
  <si>
    <t>March</t>
  </si>
  <si>
    <t>185-18-000003</t>
  </si>
  <si>
    <t>Drilling of Borewell and erreacting of two RO Plants with pipe lines works in ward no 185</t>
  </si>
  <si>
    <t>Sri Suresh B N</t>
  </si>
  <si>
    <t>185-18-000028</t>
  </si>
  <si>
    <t>Drilling of 165 mm Dia New borwell and providing electrification and distribution of pipe line in ward no 185 Yelechenahalli</t>
  </si>
  <si>
    <t>Sri Ramamurthy L</t>
  </si>
  <si>
    <t>185-17-000011</t>
  </si>
  <si>
    <t>Improvements to roads and drain in Ramakrishnanagara at ward no 185</t>
  </si>
  <si>
    <t>P3167</t>
  </si>
  <si>
    <t>Special Development works in ward No.119, 124, 131, 133, 157, 171, 177, 181, 192, 184, 185, 194, 155, 105, 90, 91, 92, 98, 09, 11, 02, 65 (Rs.100 lakhs per ward)</t>
  </si>
  <si>
    <t>185-17-000009</t>
  </si>
  <si>
    <t>Improvements to roads and drain in Iliyas Nagar near Ramaya Layout at ward no 185</t>
  </si>
  <si>
    <t>P3173</t>
  </si>
  <si>
    <t>Special Development works in ward No.124, 185, 98, 188, 10, 14, 16, 30, 28, 37, 42, 130, 159, 65, 66, 73, 79, 80, 90, 95, 94, 89, 108, 111, 115, 97, 105, 131, 133, 119, 125, 137, 143, 124, 158, 138, 83, 166, 182, 129, 165, 161, 04, 88, 27, 31, 32, 52, 44, 26, 07, 183, 178, 187 (Rs.100 lakhs per ward)</t>
  </si>
  <si>
    <t>185-17-000010</t>
  </si>
  <si>
    <t>Improvements to roads and drains Kanakanagar in ward no 185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</si>
</sst>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1"/>
  <sheetViews>
    <sheetView tabSelected="1" workbookViewId="0">
      <pane ySplit="1" topLeftCell="A2" activePane="bottomLeft" state="frozen"/>
      <selection activeCell="H1" sqref="H1"/>
      <selection pane="bottomLeft" activeCell="A2" sqref="A2:XFD41"/>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136</v>
      </c>
      <c r="B2" s="9" t="s">
        <v>33</v>
      </c>
      <c r="C2" s="10">
        <v>43194</v>
      </c>
      <c r="D2" s="11">
        <v>185</v>
      </c>
      <c r="E2" s="12" t="s">
        <v>34</v>
      </c>
      <c r="F2" s="12" t="s">
        <v>35</v>
      </c>
      <c r="G2" s="12" t="s">
        <v>36</v>
      </c>
      <c r="H2" s="12" t="s">
        <v>37</v>
      </c>
      <c r="I2" s="11" t="s">
        <v>38</v>
      </c>
      <c r="J2" s="12" t="s">
        <v>39</v>
      </c>
      <c r="K2" s="13" t="s">
        <v>40</v>
      </c>
      <c r="L2" s="11" t="str">
        <f>"000318"</f>
        <v>000318</v>
      </c>
      <c r="M2" s="10">
        <v>43143</v>
      </c>
      <c r="N2" s="11" t="str">
        <f>"000036"</f>
        <v>000036</v>
      </c>
      <c r="O2" s="10">
        <v>43150</v>
      </c>
      <c r="P2" s="11" t="str">
        <f>""</f>
        <v/>
      </c>
      <c r="Q2" s="10"/>
      <c r="R2" s="11">
        <v>17</v>
      </c>
      <c r="S2" s="11" t="str">
        <f>""</f>
        <v/>
      </c>
      <c r="T2" s="10"/>
      <c r="U2" s="14">
        <v>39.731290000000001</v>
      </c>
      <c r="V2" s="14">
        <v>1.9087000000000001</v>
      </c>
      <c r="W2" s="14">
        <v>37.822589999999998</v>
      </c>
      <c r="X2" s="11">
        <v>1</v>
      </c>
      <c r="Y2" s="10">
        <v>43194</v>
      </c>
      <c r="Z2" s="11">
        <v>9845222227</v>
      </c>
      <c r="AA2" s="12" t="s">
        <v>41</v>
      </c>
      <c r="AB2" s="11" t="s">
        <v>42</v>
      </c>
      <c r="AC2" s="12" t="s">
        <v>43</v>
      </c>
      <c r="AD2" s="11" t="s">
        <v>44</v>
      </c>
      <c r="AE2" s="12" t="s">
        <v>45</v>
      </c>
      <c r="AF2" s="14">
        <v>0.39731290000000002</v>
      </c>
      <c r="AG2" s="11" t="s">
        <v>46</v>
      </c>
    </row>
    <row r="3" spans="1:33" x14ac:dyDescent="0.2">
      <c r="A3" s="8">
        <v>137</v>
      </c>
      <c r="B3" s="9" t="s">
        <v>33</v>
      </c>
      <c r="C3" s="10">
        <v>43194</v>
      </c>
      <c r="D3" s="11">
        <v>185</v>
      </c>
      <c r="E3" s="12" t="s">
        <v>34</v>
      </c>
      <c r="F3" s="12" t="s">
        <v>35</v>
      </c>
      <c r="G3" s="12" t="s">
        <v>36</v>
      </c>
      <c r="H3" s="12" t="s">
        <v>37</v>
      </c>
      <c r="I3" s="11" t="s">
        <v>47</v>
      </c>
      <c r="J3" s="12" t="s">
        <v>48</v>
      </c>
      <c r="K3" s="13" t="s">
        <v>40</v>
      </c>
      <c r="L3" s="11" t="str">
        <f>"000317"</f>
        <v>000317</v>
      </c>
      <c r="M3" s="10">
        <v>43143</v>
      </c>
      <c r="N3" s="11" t="str">
        <f>"000069"</f>
        <v>000069</v>
      </c>
      <c r="O3" s="10">
        <v>43190</v>
      </c>
      <c r="P3" s="11" t="str">
        <f>"000215"</f>
        <v>000215</v>
      </c>
      <c r="Q3" s="10">
        <v>43190</v>
      </c>
      <c r="R3" s="11">
        <v>17</v>
      </c>
      <c r="S3" s="11" t="str">
        <f>"001223"</f>
        <v>001223</v>
      </c>
      <c r="T3" s="10">
        <v>43228</v>
      </c>
      <c r="U3" s="14">
        <v>21.56</v>
      </c>
      <c r="V3" s="14">
        <v>1.0092000000000001</v>
      </c>
      <c r="W3" s="14">
        <v>20.550799999999999</v>
      </c>
      <c r="X3" s="11">
        <v>1</v>
      </c>
      <c r="Y3" s="10">
        <v>43194</v>
      </c>
      <c r="Z3" s="11">
        <v>9845222227</v>
      </c>
      <c r="AA3" s="12" t="s">
        <v>41</v>
      </c>
      <c r="AB3" s="11" t="s">
        <v>42</v>
      </c>
      <c r="AC3" s="12" t="s">
        <v>43</v>
      </c>
      <c r="AD3" s="11" t="s">
        <v>44</v>
      </c>
      <c r="AE3" s="12" t="s">
        <v>45</v>
      </c>
      <c r="AF3" s="14">
        <v>0.21559999999999999</v>
      </c>
      <c r="AG3" s="11" t="s">
        <v>46</v>
      </c>
    </row>
    <row r="4" spans="1:33" x14ac:dyDescent="0.2">
      <c r="A4" s="8">
        <v>274</v>
      </c>
      <c r="B4" s="9" t="s">
        <v>33</v>
      </c>
      <c r="C4" s="10">
        <v>43196</v>
      </c>
      <c r="D4" s="11">
        <v>185</v>
      </c>
      <c r="E4" s="12" t="s">
        <v>34</v>
      </c>
      <c r="F4" s="12" t="s">
        <v>35</v>
      </c>
      <c r="G4" s="12" t="s">
        <v>36</v>
      </c>
      <c r="H4" s="12" t="s">
        <v>37</v>
      </c>
      <c r="I4" s="11" t="s">
        <v>49</v>
      </c>
      <c r="J4" s="12" t="s">
        <v>50</v>
      </c>
      <c r="K4" s="13" t="s">
        <v>40</v>
      </c>
      <c r="L4" s="11" t="str">
        <f>"000319"</f>
        <v>000319</v>
      </c>
      <c r="M4" s="10">
        <v>43143</v>
      </c>
      <c r="N4" s="11" t="str">
        <f>"000038"</f>
        <v>000038</v>
      </c>
      <c r="O4" s="10">
        <v>43150</v>
      </c>
      <c r="P4" s="11" t="str">
        <f>"000136"</f>
        <v>000136</v>
      </c>
      <c r="Q4" s="10">
        <v>43166</v>
      </c>
      <c r="R4" s="11">
        <v>17</v>
      </c>
      <c r="S4" s="11" t="str">
        <f>"000325"</f>
        <v>000325</v>
      </c>
      <c r="T4" s="10">
        <v>43196</v>
      </c>
      <c r="U4" s="14">
        <v>36.72</v>
      </c>
      <c r="V4" s="14">
        <v>1.754</v>
      </c>
      <c r="W4" s="14">
        <v>34.966000000000001</v>
      </c>
      <c r="X4" s="11">
        <v>7</v>
      </c>
      <c r="Y4" s="10">
        <v>43196</v>
      </c>
      <c r="Z4" s="11">
        <v>9845222227</v>
      </c>
      <c r="AA4" s="12" t="s">
        <v>41</v>
      </c>
      <c r="AB4" s="11" t="s">
        <v>42</v>
      </c>
      <c r="AC4" s="12" t="s">
        <v>43</v>
      </c>
      <c r="AD4" s="11" t="s">
        <v>44</v>
      </c>
      <c r="AE4" s="12" t="s">
        <v>45</v>
      </c>
      <c r="AF4" s="14">
        <v>0.36719999999999997</v>
      </c>
      <c r="AG4" s="11" t="s">
        <v>46</v>
      </c>
    </row>
    <row r="5" spans="1:33" x14ac:dyDescent="0.2">
      <c r="A5" s="8">
        <v>275</v>
      </c>
      <c r="B5" s="9" t="s">
        <v>33</v>
      </c>
      <c r="C5" s="10">
        <v>43196</v>
      </c>
      <c r="D5" s="11">
        <v>185</v>
      </c>
      <c r="E5" s="12" t="s">
        <v>34</v>
      </c>
      <c r="F5" s="12" t="s">
        <v>35</v>
      </c>
      <c r="G5" s="12" t="s">
        <v>36</v>
      </c>
      <c r="H5" s="12" t="s">
        <v>37</v>
      </c>
      <c r="I5" s="11" t="s">
        <v>51</v>
      </c>
      <c r="J5" s="12" t="s">
        <v>52</v>
      </c>
      <c r="K5" s="13" t="s">
        <v>53</v>
      </c>
      <c r="L5" s="11" t="str">
        <f>"000004"</f>
        <v>000004</v>
      </c>
      <c r="M5" s="10">
        <v>42983</v>
      </c>
      <c r="N5" s="11" t="str">
        <f>"000052"</f>
        <v>000052</v>
      </c>
      <c r="O5" s="10">
        <v>43160</v>
      </c>
      <c r="P5" s="11" t="str">
        <f>"000118"</f>
        <v>000118</v>
      </c>
      <c r="Q5" s="10">
        <v>43161</v>
      </c>
      <c r="R5" s="11">
        <v>17</v>
      </c>
      <c r="S5" s="11" t="str">
        <f>"000346"</f>
        <v>000346</v>
      </c>
      <c r="T5" s="10">
        <v>43196</v>
      </c>
      <c r="U5" s="14">
        <v>94.323300000000003</v>
      </c>
      <c r="V5" s="14">
        <v>5.29</v>
      </c>
      <c r="W5" s="14">
        <v>89.033299999999997</v>
      </c>
      <c r="X5" s="11">
        <v>7</v>
      </c>
      <c r="Y5" s="10">
        <v>43196</v>
      </c>
      <c r="Z5" s="11">
        <v>9845183166</v>
      </c>
      <c r="AA5" s="12" t="s">
        <v>54</v>
      </c>
      <c r="AB5" s="11" t="s">
        <v>42</v>
      </c>
      <c r="AC5" s="12" t="s">
        <v>43</v>
      </c>
      <c r="AD5" s="11" t="s">
        <v>44</v>
      </c>
      <c r="AE5" s="12" t="s">
        <v>45</v>
      </c>
      <c r="AF5" s="14">
        <v>0.94323299999999999</v>
      </c>
      <c r="AG5" s="11" t="s">
        <v>46</v>
      </c>
    </row>
    <row r="6" spans="1:33" x14ac:dyDescent="0.2">
      <c r="A6" s="8">
        <v>466</v>
      </c>
      <c r="B6" s="9" t="s">
        <v>33</v>
      </c>
      <c r="C6" s="10">
        <v>43200</v>
      </c>
      <c r="D6" s="11">
        <v>185</v>
      </c>
      <c r="E6" s="12" t="s">
        <v>34</v>
      </c>
      <c r="F6" s="12" t="s">
        <v>35</v>
      </c>
      <c r="G6" s="12" t="s">
        <v>36</v>
      </c>
      <c r="H6" s="12" t="s">
        <v>37</v>
      </c>
      <c r="I6" s="11" t="s">
        <v>55</v>
      </c>
      <c r="J6" s="12" t="s">
        <v>56</v>
      </c>
      <c r="K6" s="13" t="s">
        <v>57</v>
      </c>
      <c r="L6" s="11" t="str">
        <f>"000051"</f>
        <v>000051</v>
      </c>
      <c r="M6" s="10">
        <v>43152</v>
      </c>
      <c r="N6" s="11" t="str">
        <f>"000068"</f>
        <v>000068</v>
      </c>
      <c r="O6" s="10">
        <v>43152</v>
      </c>
      <c r="P6" s="11" t="str">
        <f>"000073"</f>
        <v>000073</v>
      </c>
      <c r="Q6" s="10">
        <v>43155</v>
      </c>
      <c r="R6" s="11">
        <v>17</v>
      </c>
      <c r="S6" s="11" t="str">
        <f>"000424"</f>
        <v>000424</v>
      </c>
      <c r="T6" s="10">
        <v>43199</v>
      </c>
      <c r="U6" s="14">
        <v>8.7073499999999999</v>
      </c>
      <c r="V6" s="14">
        <v>0.38319999999999999</v>
      </c>
      <c r="W6" s="14">
        <v>8.3241499999999995</v>
      </c>
      <c r="X6" s="11">
        <v>13</v>
      </c>
      <c r="Y6" s="10">
        <v>43200</v>
      </c>
      <c r="Z6" s="11">
        <v>9448610301</v>
      </c>
      <c r="AA6" s="12" t="s">
        <v>58</v>
      </c>
      <c r="AB6" s="11" t="s">
        <v>59</v>
      </c>
      <c r="AC6" s="12" t="s">
        <v>60</v>
      </c>
      <c r="AD6" s="11" t="s">
        <v>61</v>
      </c>
      <c r="AE6" s="12" t="s">
        <v>62</v>
      </c>
      <c r="AF6" s="14">
        <v>8.7073499999999998E-2</v>
      </c>
      <c r="AG6" s="11" t="s">
        <v>46</v>
      </c>
    </row>
    <row r="7" spans="1:33" x14ac:dyDescent="0.2">
      <c r="A7" s="8">
        <v>681</v>
      </c>
      <c r="B7" s="9" t="s">
        <v>33</v>
      </c>
      <c r="C7" s="10">
        <v>43215</v>
      </c>
      <c r="D7" s="11">
        <v>185</v>
      </c>
      <c r="E7" s="12" t="s">
        <v>34</v>
      </c>
      <c r="F7" s="12" t="s">
        <v>35</v>
      </c>
      <c r="G7" s="12" t="s">
        <v>36</v>
      </c>
      <c r="H7" s="12" t="s">
        <v>37</v>
      </c>
      <c r="I7" s="11" t="s">
        <v>63</v>
      </c>
      <c r="J7" s="12" t="s">
        <v>64</v>
      </c>
      <c r="K7" s="13" t="s">
        <v>53</v>
      </c>
      <c r="L7" s="11" t="str">
        <f>"000089"</f>
        <v>000089</v>
      </c>
      <c r="M7" s="10">
        <v>43033</v>
      </c>
      <c r="N7" s="11" t="str">
        <f>"000066"</f>
        <v>000066</v>
      </c>
      <c r="O7" s="10">
        <v>43186</v>
      </c>
      <c r="P7" s="11" t="str">
        <f>"000179"</f>
        <v>000179</v>
      </c>
      <c r="Q7" s="10">
        <v>43190</v>
      </c>
      <c r="R7" s="11">
        <v>17</v>
      </c>
      <c r="S7" s="11" t="str">
        <f>"000623"</f>
        <v>000623</v>
      </c>
      <c r="T7" s="10">
        <v>43214</v>
      </c>
      <c r="U7" s="14">
        <v>11.502000000000001</v>
      </c>
      <c r="V7" s="14">
        <v>0.94950000000000001</v>
      </c>
      <c r="W7" s="14">
        <v>10.5525</v>
      </c>
      <c r="X7" s="11">
        <v>24</v>
      </c>
      <c r="Y7" s="10">
        <v>43215</v>
      </c>
      <c r="Z7" s="11">
        <v>9742394755</v>
      </c>
      <c r="AA7" s="12" t="s">
        <v>65</v>
      </c>
      <c r="AB7" s="11" t="s">
        <v>59</v>
      </c>
      <c r="AC7" s="12" t="s">
        <v>60</v>
      </c>
      <c r="AD7" s="11" t="s">
        <v>44</v>
      </c>
      <c r="AE7" s="12" t="s">
        <v>45</v>
      </c>
      <c r="AF7" s="14">
        <v>0.11502000000000001</v>
      </c>
      <c r="AG7" s="11" t="s">
        <v>46</v>
      </c>
    </row>
    <row r="8" spans="1:33" x14ac:dyDescent="0.2">
      <c r="A8" s="8">
        <v>853</v>
      </c>
      <c r="B8" s="9" t="s">
        <v>66</v>
      </c>
      <c r="C8" s="10">
        <v>43225</v>
      </c>
      <c r="D8" s="11">
        <v>185</v>
      </c>
      <c r="E8" s="12" t="s">
        <v>34</v>
      </c>
      <c r="F8" s="12" t="s">
        <v>35</v>
      </c>
      <c r="G8" s="12" t="s">
        <v>36</v>
      </c>
      <c r="H8" s="12" t="s">
        <v>37</v>
      </c>
      <c r="I8" s="11" t="s">
        <v>67</v>
      </c>
      <c r="J8" s="12" t="s">
        <v>68</v>
      </c>
      <c r="K8" s="13" t="s">
        <v>69</v>
      </c>
      <c r="L8" s="11" t="str">
        <f>"000015"</f>
        <v>000015</v>
      </c>
      <c r="M8" s="10">
        <v>42837</v>
      </c>
      <c r="N8" s="11" t="str">
        <f>"000001"</f>
        <v>000001</v>
      </c>
      <c r="O8" s="10">
        <v>42852</v>
      </c>
      <c r="P8" s="11" t="str">
        <f>"000002"</f>
        <v>000002</v>
      </c>
      <c r="Q8" s="10">
        <v>42852</v>
      </c>
      <c r="R8" s="11">
        <v>17</v>
      </c>
      <c r="S8" s="11" t="str">
        <f>"001041"</f>
        <v>001041</v>
      </c>
      <c r="T8" s="10">
        <v>43223</v>
      </c>
      <c r="U8" s="14">
        <v>19.039300000000001</v>
      </c>
      <c r="V8" s="14">
        <v>2.4192</v>
      </c>
      <c r="W8" s="14">
        <v>16.620100000000001</v>
      </c>
      <c r="X8" s="11">
        <v>38</v>
      </c>
      <c r="Y8" s="10">
        <v>43225</v>
      </c>
      <c r="Z8" s="11">
        <v>9900197571</v>
      </c>
      <c r="AA8" s="12" t="s">
        <v>70</v>
      </c>
      <c r="AB8" s="11" t="s">
        <v>71</v>
      </c>
      <c r="AC8" s="12" t="s">
        <v>72</v>
      </c>
      <c r="AD8" s="11" t="s">
        <v>44</v>
      </c>
      <c r="AE8" s="12" t="s">
        <v>45</v>
      </c>
      <c r="AF8" s="14">
        <v>0.19039300000000001</v>
      </c>
      <c r="AG8" s="11" t="s">
        <v>46</v>
      </c>
    </row>
    <row r="9" spans="1:33" x14ac:dyDescent="0.2">
      <c r="A9" s="8">
        <v>873</v>
      </c>
      <c r="B9" s="9" t="s">
        <v>66</v>
      </c>
      <c r="C9" s="10">
        <v>43227</v>
      </c>
      <c r="D9" s="11">
        <v>185</v>
      </c>
      <c r="E9" s="12" t="s">
        <v>34</v>
      </c>
      <c r="F9" s="12" t="s">
        <v>35</v>
      </c>
      <c r="G9" s="12" t="s">
        <v>36</v>
      </c>
      <c r="H9" s="12" t="s">
        <v>37</v>
      </c>
      <c r="I9" s="11" t="s">
        <v>73</v>
      </c>
      <c r="J9" s="12" t="s">
        <v>74</v>
      </c>
      <c r="K9" s="13" t="s">
        <v>40</v>
      </c>
      <c r="L9" s="11" t="str">
        <f>"000038"</f>
        <v>000038</v>
      </c>
      <c r="M9" s="10">
        <v>42845</v>
      </c>
      <c r="N9" s="11" t="str">
        <f>"000059"</f>
        <v>000059</v>
      </c>
      <c r="O9" s="10">
        <v>42916</v>
      </c>
      <c r="P9" s="11" t="str">
        <f>"000207"</f>
        <v>000207</v>
      </c>
      <c r="Q9" s="10">
        <v>42916</v>
      </c>
      <c r="R9" s="11">
        <v>17</v>
      </c>
      <c r="S9" s="11" t="str">
        <f>"001098"</f>
        <v>001098</v>
      </c>
      <c r="T9" s="10">
        <v>43224</v>
      </c>
      <c r="U9" s="14">
        <v>49.29</v>
      </c>
      <c r="V9" s="14">
        <v>8.1541499999999996</v>
      </c>
      <c r="W9" s="14">
        <v>41.135849999999998</v>
      </c>
      <c r="X9" s="11">
        <v>41</v>
      </c>
      <c r="Y9" s="10">
        <v>43227</v>
      </c>
      <c r="Z9" s="11">
        <v>8884572139</v>
      </c>
      <c r="AA9" s="12" t="s">
        <v>75</v>
      </c>
      <c r="AB9" s="11" t="s">
        <v>76</v>
      </c>
      <c r="AC9" s="12" t="s">
        <v>77</v>
      </c>
      <c r="AD9" s="11" t="s">
        <v>44</v>
      </c>
      <c r="AE9" s="12" t="s">
        <v>45</v>
      </c>
      <c r="AF9" s="14">
        <v>0.4929</v>
      </c>
      <c r="AG9" s="11" t="s">
        <v>46</v>
      </c>
    </row>
    <row r="10" spans="1:33" x14ac:dyDescent="0.2">
      <c r="A10" s="8">
        <v>1026</v>
      </c>
      <c r="B10" s="9" t="s">
        <v>66</v>
      </c>
      <c r="C10" s="10">
        <v>43229</v>
      </c>
      <c r="D10" s="11">
        <v>185</v>
      </c>
      <c r="E10" s="12" t="s">
        <v>34</v>
      </c>
      <c r="F10" s="12" t="s">
        <v>35</v>
      </c>
      <c r="G10" s="12" t="s">
        <v>36</v>
      </c>
      <c r="H10" s="12" t="s">
        <v>37</v>
      </c>
      <c r="I10" s="11" t="s">
        <v>47</v>
      </c>
      <c r="J10" s="12" t="s">
        <v>48</v>
      </c>
      <c r="K10" s="13" t="s">
        <v>40</v>
      </c>
      <c r="L10" s="11" t="str">
        <f>"000317"</f>
        <v>000317</v>
      </c>
      <c r="M10" s="10">
        <v>43143</v>
      </c>
      <c r="N10" s="11" t="str">
        <f>"000069"</f>
        <v>000069</v>
      </c>
      <c r="O10" s="10">
        <v>43190</v>
      </c>
      <c r="P10" s="11" t="str">
        <f>"000215"</f>
        <v>000215</v>
      </c>
      <c r="Q10" s="10">
        <v>43190</v>
      </c>
      <c r="R10" s="11">
        <v>17</v>
      </c>
      <c r="S10" s="11" t="str">
        <f>"001223"</f>
        <v>001223</v>
      </c>
      <c r="T10" s="10">
        <v>43228</v>
      </c>
      <c r="U10" s="14">
        <v>16.86</v>
      </c>
      <c r="V10" s="14">
        <v>0.70699999999999996</v>
      </c>
      <c r="W10" s="14">
        <v>16.152999999999999</v>
      </c>
      <c r="X10" s="11">
        <v>43</v>
      </c>
      <c r="Y10" s="10">
        <v>43229</v>
      </c>
      <c r="Z10" s="11">
        <v>9845222227</v>
      </c>
      <c r="AA10" s="12" t="s">
        <v>41</v>
      </c>
      <c r="AB10" s="11" t="s">
        <v>42</v>
      </c>
      <c r="AC10" s="12" t="s">
        <v>43</v>
      </c>
      <c r="AD10" s="11" t="s">
        <v>44</v>
      </c>
      <c r="AE10" s="12" t="s">
        <v>45</v>
      </c>
      <c r="AF10" s="14">
        <v>0.1686</v>
      </c>
      <c r="AG10" s="11" t="s">
        <v>46</v>
      </c>
    </row>
    <row r="11" spans="1:33" x14ac:dyDescent="0.2">
      <c r="A11" s="8">
        <v>1027</v>
      </c>
      <c r="B11" s="9" t="s">
        <v>66</v>
      </c>
      <c r="C11" s="10">
        <v>43229</v>
      </c>
      <c r="D11" s="11">
        <v>185</v>
      </c>
      <c r="E11" s="12" t="s">
        <v>34</v>
      </c>
      <c r="F11" s="12" t="s">
        <v>35</v>
      </c>
      <c r="G11" s="12" t="s">
        <v>36</v>
      </c>
      <c r="H11" s="12" t="s">
        <v>37</v>
      </c>
      <c r="I11" s="11" t="s">
        <v>78</v>
      </c>
      <c r="J11" s="12" t="s">
        <v>79</v>
      </c>
      <c r="K11" s="13" t="s">
        <v>53</v>
      </c>
      <c r="L11" s="11" t="str">
        <f>"000315"</f>
        <v>000315</v>
      </c>
      <c r="M11" s="10">
        <v>43143</v>
      </c>
      <c r="N11" s="11" t="str">
        <f>"000068"</f>
        <v>000068</v>
      </c>
      <c r="O11" s="10">
        <v>43190</v>
      </c>
      <c r="P11" s="11" t="str">
        <f>"000212"</f>
        <v>000212</v>
      </c>
      <c r="Q11" s="10">
        <v>43190</v>
      </c>
      <c r="R11" s="11">
        <v>17</v>
      </c>
      <c r="S11" s="11" t="str">
        <f>"001281"</f>
        <v>001281</v>
      </c>
      <c r="T11" s="10">
        <v>43228</v>
      </c>
      <c r="U11" s="14">
        <v>10.478</v>
      </c>
      <c r="V11" s="14">
        <v>0.437</v>
      </c>
      <c r="W11" s="14">
        <v>10.041</v>
      </c>
      <c r="X11" s="11">
        <v>47</v>
      </c>
      <c r="Y11" s="10">
        <v>43229</v>
      </c>
      <c r="Z11" s="11">
        <v>9845222227</v>
      </c>
      <c r="AA11" s="12" t="s">
        <v>41</v>
      </c>
      <c r="AB11" s="11" t="s">
        <v>42</v>
      </c>
      <c r="AC11" s="12" t="s">
        <v>43</v>
      </c>
      <c r="AD11" s="11" t="s">
        <v>44</v>
      </c>
      <c r="AE11" s="12" t="s">
        <v>45</v>
      </c>
      <c r="AF11" s="14">
        <v>0.10478</v>
      </c>
      <c r="AG11" s="11" t="s">
        <v>46</v>
      </c>
    </row>
    <row r="12" spans="1:33" x14ac:dyDescent="0.2">
      <c r="A12" s="8">
        <v>1265</v>
      </c>
      <c r="B12" s="9" t="s">
        <v>66</v>
      </c>
      <c r="C12" s="10">
        <v>43238</v>
      </c>
      <c r="D12" s="11">
        <v>185</v>
      </c>
      <c r="E12" s="12" t="s">
        <v>34</v>
      </c>
      <c r="F12" s="12" t="s">
        <v>35</v>
      </c>
      <c r="G12" s="12" t="s">
        <v>36</v>
      </c>
      <c r="H12" s="12" t="s">
        <v>37</v>
      </c>
      <c r="I12" s="11" t="s">
        <v>80</v>
      </c>
      <c r="J12" s="12" t="s">
        <v>81</v>
      </c>
      <c r="K12" s="13" t="s">
        <v>40</v>
      </c>
      <c r="L12" s="11" t="str">
        <f>"000081"</f>
        <v>000081</v>
      </c>
      <c r="M12" s="10">
        <v>42516</v>
      </c>
      <c r="N12" s="11" t="str">
        <f>"000016"</f>
        <v>000016</v>
      </c>
      <c r="O12" s="10">
        <v>42580</v>
      </c>
      <c r="P12" s="11" t="str">
        <f>"000065"</f>
        <v>000065</v>
      </c>
      <c r="Q12" s="10">
        <v>42581</v>
      </c>
      <c r="R12" s="11">
        <v>16</v>
      </c>
      <c r="S12" s="11" t="str">
        <f>"001406"</f>
        <v>001406</v>
      </c>
      <c r="T12" s="10">
        <v>43236</v>
      </c>
      <c r="U12" s="14">
        <v>39.914499999999997</v>
      </c>
      <c r="V12" s="14">
        <v>5.5073999999999996</v>
      </c>
      <c r="W12" s="14">
        <v>34.4071</v>
      </c>
      <c r="X12" s="11">
        <v>52</v>
      </c>
      <c r="Y12" s="10">
        <v>43238</v>
      </c>
      <c r="Z12" s="11">
        <v>9900145168</v>
      </c>
      <c r="AA12" s="12" t="s">
        <v>82</v>
      </c>
      <c r="AB12" s="11" t="s">
        <v>76</v>
      </c>
      <c r="AC12" s="12" t="s">
        <v>77</v>
      </c>
      <c r="AD12" s="11" t="s">
        <v>44</v>
      </c>
      <c r="AE12" s="12" t="s">
        <v>45</v>
      </c>
      <c r="AF12" s="14">
        <v>0.39914499999999997</v>
      </c>
      <c r="AG12" s="11" t="s">
        <v>46</v>
      </c>
    </row>
    <row r="13" spans="1:33" x14ac:dyDescent="0.2">
      <c r="A13" s="8">
        <v>1266</v>
      </c>
      <c r="B13" s="9" t="s">
        <v>66</v>
      </c>
      <c r="C13" s="10">
        <v>43238</v>
      </c>
      <c r="D13" s="11">
        <v>185</v>
      </c>
      <c r="E13" s="12" t="s">
        <v>34</v>
      </c>
      <c r="F13" s="12" t="s">
        <v>35</v>
      </c>
      <c r="G13" s="12" t="s">
        <v>36</v>
      </c>
      <c r="H13" s="12" t="s">
        <v>37</v>
      </c>
      <c r="I13" s="11" t="s">
        <v>83</v>
      </c>
      <c r="J13" s="12" t="s">
        <v>84</v>
      </c>
      <c r="K13" s="13" t="s">
        <v>53</v>
      </c>
      <c r="L13" s="11" t="str">
        <f>"000033"</f>
        <v>000033</v>
      </c>
      <c r="M13" s="10">
        <v>42506</v>
      </c>
      <c r="N13" s="11" t="str">
        <f>"000031"</f>
        <v>000031</v>
      </c>
      <c r="O13" s="10">
        <v>42581</v>
      </c>
      <c r="P13" s="11" t="str">
        <f>"000101"</f>
        <v>000101</v>
      </c>
      <c r="Q13" s="10">
        <v>42601</v>
      </c>
      <c r="R13" s="11">
        <v>16</v>
      </c>
      <c r="S13" s="11" t="str">
        <f>"001413"</f>
        <v>001413</v>
      </c>
      <c r="T13" s="10">
        <v>43236</v>
      </c>
      <c r="U13" s="14">
        <v>17.559999999999999</v>
      </c>
      <c r="V13" s="14">
        <v>2.4897</v>
      </c>
      <c r="W13" s="14">
        <v>15.0703</v>
      </c>
      <c r="X13" s="11">
        <v>52</v>
      </c>
      <c r="Y13" s="10">
        <v>43238</v>
      </c>
      <c r="Z13" s="11">
        <v>9611140040</v>
      </c>
      <c r="AA13" s="12" t="s">
        <v>85</v>
      </c>
      <c r="AB13" s="11" t="s">
        <v>76</v>
      </c>
      <c r="AC13" s="12" t="s">
        <v>77</v>
      </c>
      <c r="AD13" s="11" t="s">
        <v>44</v>
      </c>
      <c r="AE13" s="12" t="s">
        <v>45</v>
      </c>
      <c r="AF13" s="14">
        <v>0.17559999999999998</v>
      </c>
      <c r="AG13" s="11" t="s">
        <v>46</v>
      </c>
    </row>
    <row r="14" spans="1:33" x14ac:dyDescent="0.2">
      <c r="A14" s="8">
        <v>1463</v>
      </c>
      <c r="B14" s="9" t="s">
        <v>66</v>
      </c>
      <c r="C14" s="10">
        <v>43242</v>
      </c>
      <c r="D14" s="11">
        <v>185</v>
      </c>
      <c r="E14" s="12" t="s">
        <v>34</v>
      </c>
      <c r="F14" s="12" t="s">
        <v>35</v>
      </c>
      <c r="G14" s="12" t="s">
        <v>36</v>
      </c>
      <c r="H14" s="12" t="s">
        <v>37</v>
      </c>
      <c r="I14" s="11" t="s">
        <v>86</v>
      </c>
      <c r="J14" s="12" t="s">
        <v>87</v>
      </c>
      <c r="K14" s="13" t="s">
        <v>69</v>
      </c>
      <c r="L14" s="11" t="str">
        <f>"000001"</f>
        <v>000001</v>
      </c>
      <c r="M14" s="10">
        <v>42464</v>
      </c>
      <c r="N14" s="11" t="str">
        <f>"000130"</f>
        <v>000130</v>
      </c>
      <c r="O14" s="10">
        <v>42825</v>
      </c>
      <c r="P14" s="11" t="str">
        <f>"000295"</f>
        <v>000295</v>
      </c>
      <c r="Q14" s="10">
        <v>42825</v>
      </c>
      <c r="R14" s="11">
        <v>16</v>
      </c>
      <c r="S14" s="11" t="str">
        <f>"001688"</f>
        <v>001688</v>
      </c>
      <c r="T14" s="10">
        <v>43241</v>
      </c>
      <c r="U14" s="14">
        <v>4.9451000000000001</v>
      </c>
      <c r="V14" s="14">
        <v>0.57679999999999998</v>
      </c>
      <c r="W14" s="14">
        <v>4.3682999999999996</v>
      </c>
      <c r="X14" s="11">
        <v>58</v>
      </c>
      <c r="Y14" s="10">
        <v>43242</v>
      </c>
      <c r="Z14" s="11">
        <v>9448065290</v>
      </c>
      <c r="AA14" s="12" t="s">
        <v>88</v>
      </c>
      <c r="AB14" s="11" t="s">
        <v>71</v>
      </c>
      <c r="AC14" s="12" t="s">
        <v>72</v>
      </c>
      <c r="AD14" s="11" t="s">
        <v>44</v>
      </c>
      <c r="AE14" s="12" t="s">
        <v>45</v>
      </c>
      <c r="AF14" s="14">
        <v>4.9451000000000002E-2</v>
      </c>
      <c r="AG14" s="11" t="s">
        <v>46</v>
      </c>
    </row>
    <row r="15" spans="1:33" x14ac:dyDescent="0.2">
      <c r="A15" s="8">
        <v>1697</v>
      </c>
      <c r="B15" s="9" t="s">
        <v>89</v>
      </c>
      <c r="C15" s="10">
        <v>43252</v>
      </c>
      <c r="D15" s="11">
        <v>185</v>
      </c>
      <c r="E15" s="12" t="s">
        <v>34</v>
      </c>
      <c r="F15" s="12" t="s">
        <v>35</v>
      </c>
      <c r="G15" s="12" t="s">
        <v>36</v>
      </c>
      <c r="H15" s="12" t="s">
        <v>37</v>
      </c>
      <c r="I15" s="11" t="s">
        <v>90</v>
      </c>
      <c r="J15" s="12" t="s">
        <v>91</v>
      </c>
      <c r="K15" s="13" t="s">
        <v>40</v>
      </c>
      <c r="L15" s="11" t="str">
        <f>"000058"</f>
        <v>000058</v>
      </c>
      <c r="M15" s="10">
        <v>43018</v>
      </c>
      <c r="N15" s="11" t="str">
        <f>"000002"</f>
        <v>000002</v>
      </c>
      <c r="O15" s="10">
        <v>43068</v>
      </c>
      <c r="P15" s="11" t="str">
        <f>"000027"</f>
        <v>000027</v>
      </c>
      <c r="Q15" s="10">
        <v>43106</v>
      </c>
      <c r="R15" s="11">
        <v>17</v>
      </c>
      <c r="S15" s="11" t="str">
        <f>"001788"</f>
        <v>001788</v>
      </c>
      <c r="T15" s="10">
        <v>43243</v>
      </c>
      <c r="U15" s="14">
        <v>19.997800000000002</v>
      </c>
      <c r="V15" s="14">
        <v>2.4298999999999999</v>
      </c>
      <c r="W15" s="14">
        <v>17.567900000000002</v>
      </c>
      <c r="X15" s="11">
        <v>66</v>
      </c>
      <c r="Y15" s="10">
        <v>43252</v>
      </c>
      <c r="Z15" s="11">
        <v>9845900660</v>
      </c>
      <c r="AA15" s="12" t="s">
        <v>92</v>
      </c>
      <c r="AB15" s="11" t="s">
        <v>93</v>
      </c>
      <c r="AC15" s="12" t="s">
        <v>94</v>
      </c>
      <c r="AD15" s="11" t="s">
        <v>44</v>
      </c>
      <c r="AE15" s="12" t="s">
        <v>45</v>
      </c>
      <c r="AF15" s="14">
        <v>0.19997800000000002</v>
      </c>
      <c r="AG15" s="11" t="s">
        <v>46</v>
      </c>
    </row>
    <row r="16" spans="1:33" x14ac:dyDescent="0.2">
      <c r="A16" s="8">
        <v>2060</v>
      </c>
      <c r="B16" s="9" t="s">
        <v>89</v>
      </c>
      <c r="C16" s="10">
        <v>43262</v>
      </c>
      <c r="D16" s="11">
        <v>185</v>
      </c>
      <c r="E16" s="12" t="s">
        <v>34</v>
      </c>
      <c r="F16" s="12" t="s">
        <v>35</v>
      </c>
      <c r="G16" s="12" t="s">
        <v>36</v>
      </c>
      <c r="H16" s="12" t="s">
        <v>37</v>
      </c>
      <c r="I16" s="11" t="s">
        <v>95</v>
      </c>
      <c r="J16" s="12" t="s">
        <v>68</v>
      </c>
      <c r="K16" s="13" t="s">
        <v>96</v>
      </c>
      <c r="L16" s="11" t="str">
        <f>"000001"</f>
        <v>000001</v>
      </c>
      <c r="M16" s="10">
        <v>42828</v>
      </c>
      <c r="N16" s="11" t="str">
        <f>"000041"</f>
        <v>000041</v>
      </c>
      <c r="O16" s="10">
        <v>42916</v>
      </c>
      <c r="P16" s="11" t="str">
        <f>"000156"</f>
        <v>000156</v>
      </c>
      <c r="Q16" s="10">
        <v>42916</v>
      </c>
      <c r="R16" s="11">
        <v>17</v>
      </c>
      <c r="S16" s="11" t="str">
        <f>"002273"</f>
        <v>002273</v>
      </c>
      <c r="T16" s="10">
        <v>43257</v>
      </c>
      <c r="U16" s="14">
        <v>14.4282</v>
      </c>
      <c r="V16" s="14">
        <v>1.8315999999999999</v>
      </c>
      <c r="W16" s="14">
        <v>12.5966</v>
      </c>
      <c r="X16" s="11">
        <v>79</v>
      </c>
      <c r="Y16" s="10">
        <v>43262</v>
      </c>
      <c r="Z16" s="11">
        <v>9916491607</v>
      </c>
      <c r="AA16" s="12" t="s">
        <v>97</v>
      </c>
      <c r="AB16" s="11" t="s">
        <v>93</v>
      </c>
      <c r="AC16" s="12" t="s">
        <v>94</v>
      </c>
      <c r="AD16" s="11" t="s">
        <v>44</v>
      </c>
      <c r="AE16" s="12" t="s">
        <v>45</v>
      </c>
      <c r="AF16" s="14">
        <v>0.14428199999999999</v>
      </c>
      <c r="AG16" s="11" t="s">
        <v>46</v>
      </c>
    </row>
    <row r="17" spans="1:33" x14ac:dyDescent="0.2">
      <c r="A17" s="8">
        <v>2960</v>
      </c>
      <c r="B17" s="9" t="s">
        <v>98</v>
      </c>
      <c r="C17" s="10">
        <v>43283</v>
      </c>
      <c r="D17" s="11">
        <v>185</v>
      </c>
      <c r="E17" s="12" t="s">
        <v>34</v>
      </c>
      <c r="F17" s="12" t="s">
        <v>35</v>
      </c>
      <c r="G17" s="12" t="s">
        <v>36</v>
      </c>
      <c r="H17" s="12" t="s">
        <v>37</v>
      </c>
      <c r="I17" s="11" t="s">
        <v>99</v>
      </c>
      <c r="J17" s="12" t="s">
        <v>100</v>
      </c>
      <c r="K17" s="13" t="s">
        <v>40</v>
      </c>
      <c r="L17" s="11" t="str">
        <f>"000316"</f>
        <v>000316</v>
      </c>
      <c r="M17" s="10">
        <v>43143</v>
      </c>
      <c r="N17" s="11" t="str">
        <f>"000034"</f>
        <v>000034</v>
      </c>
      <c r="O17" s="10">
        <v>43150</v>
      </c>
      <c r="P17" s="11" t="str">
        <f>"000120"</f>
        <v>000120</v>
      </c>
      <c r="Q17" s="10">
        <v>43251</v>
      </c>
      <c r="R17" s="11">
        <v>17</v>
      </c>
      <c r="S17" s="11" t="str">
        <f>"003152"</f>
        <v>003152</v>
      </c>
      <c r="T17" s="10">
        <v>43280</v>
      </c>
      <c r="U17" s="14">
        <v>40.83</v>
      </c>
      <c r="V17" s="14">
        <v>1.9201999999999999</v>
      </c>
      <c r="W17" s="14">
        <v>38.909799999999997</v>
      </c>
      <c r="X17" s="11">
        <v>105</v>
      </c>
      <c r="Y17" s="10">
        <v>43283</v>
      </c>
      <c r="Z17" s="11">
        <v>9845222227</v>
      </c>
      <c r="AA17" s="12" t="s">
        <v>41</v>
      </c>
      <c r="AB17" s="11" t="s">
        <v>42</v>
      </c>
      <c r="AC17" s="12" t="s">
        <v>43</v>
      </c>
      <c r="AD17" s="11" t="s">
        <v>44</v>
      </c>
      <c r="AE17" s="12" t="s">
        <v>45</v>
      </c>
      <c r="AF17" s="14">
        <v>0.4083</v>
      </c>
      <c r="AG17" s="11" t="s">
        <v>101</v>
      </c>
    </row>
    <row r="18" spans="1:33" x14ac:dyDescent="0.2">
      <c r="A18" s="8">
        <v>3625</v>
      </c>
      <c r="B18" s="9" t="s">
        <v>98</v>
      </c>
      <c r="C18" s="10">
        <v>43299</v>
      </c>
      <c r="D18" s="11">
        <v>185</v>
      </c>
      <c r="E18" s="12" t="s">
        <v>34</v>
      </c>
      <c r="F18" s="12" t="s">
        <v>35</v>
      </c>
      <c r="G18" s="12" t="s">
        <v>36</v>
      </c>
      <c r="H18" s="12" t="s">
        <v>37</v>
      </c>
      <c r="I18" s="11" t="s">
        <v>102</v>
      </c>
      <c r="J18" s="12" t="s">
        <v>103</v>
      </c>
      <c r="K18" s="13" t="s">
        <v>57</v>
      </c>
      <c r="L18" s="11" t="str">
        <f>"000001"</f>
        <v>000001</v>
      </c>
      <c r="M18" s="10">
        <v>43191</v>
      </c>
      <c r="N18" s="11" t="str">
        <f>"000020"</f>
        <v>000020</v>
      </c>
      <c r="O18" s="10">
        <v>43333</v>
      </c>
      <c r="P18" s="11" t="str">
        <f>"000025"</f>
        <v>000025</v>
      </c>
      <c r="Q18" s="10">
        <v>43333</v>
      </c>
      <c r="R18" s="11">
        <v>16</v>
      </c>
      <c r="S18" s="11" t="str">
        <f>""</f>
        <v/>
      </c>
      <c r="T18" s="10"/>
      <c r="U18" s="14">
        <v>7.1959600000000004</v>
      </c>
      <c r="V18" s="14">
        <v>0.99297000000000002</v>
      </c>
      <c r="W18" s="14">
        <v>6.2029899999999998</v>
      </c>
      <c r="X18" s="11">
        <v>127</v>
      </c>
      <c r="Y18" s="10">
        <v>43299</v>
      </c>
      <c r="Z18" s="11">
        <v>9448510301</v>
      </c>
      <c r="AA18" s="12" t="s">
        <v>104</v>
      </c>
      <c r="AB18" s="11" t="s">
        <v>105</v>
      </c>
      <c r="AC18" s="12" t="s">
        <v>106</v>
      </c>
      <c r="AD18" s="11" t="s">
        <v>61</v>
      </c>
      <c r="AE18" s="12" t="s">
        <v>62</v>
      </c>
      <c r="AF18" s="14">
        <v>7.1959599999999999E-2</v>
      </c>
      <c r="AG18" s="11" t="s">
        <v>107</v>
      </c>
    </row>
    <row r="19" spans="1:33" x14ac:dyDescent="0.2">
      <c r="A19" s="8">
        <v>3798</v>
      </c>
      <c r="B19" s="9" t="s">
        <v>98</v>
      </c>
      <c r="C19" s="10">
        <v>43301</v>
      </c>
      <c r="D19" s="11">
        <v>185</v>
      </c>
      <c r="E19" s="12" t="s">
        <v>34</v>
      </c>
      <c r="F19" s="12" t="s">
        <v>35</v>
      </c>
      <c r="G19" s="12" t="s">
        <v>36</v>
      </c>
      <c r="H19" s="12" t="s">
        <v>37</v>
      </c>
      <c r="I19" s="11" t="s">
        <v>102</v>
      </c>
      <c r="J19" s="12" t="s">
        <v>103</v>
      </c>
      <c r="K19" s="13" t="s">
        <v>57</v>
      </c>
      <c r="L19" s="11" t="str">
        <f>"000001"</f>
        <v>000001</v>
      </c>
      <c r="M19" s="10">
        <v>43191</v>
      </c>
      <c r="N19" s="11" t="str">
        <f>"000020"</f>
        <v>000020</v>
      </c>
      <c r="O19" s="10">
        <v>43333</v>
      </c>
      <c r="P19" s="11" t="str">
        <f>"000025"</f>
        <v>000025</v>
      </c>
      <c r="Q19" s="10">
        <v>43333</v>
      </c>
      <c r="R19" s="11">
        <v>16</v>
      </c>
      <c r="S19" s="11" t="str">
        <f>""</f>
        <v/>
      </c>
      <c r="T19" s="10"/>
      <c r="U19" s="14">
        <v>2.3689</v>
      </c>
      <c r="V19" s="14">
        <v>0.3266</v>
      </c>
      <c r="W19" s="14">
        <v>2.0423</v>
      </c>
      <c r="X19" s="11">
        <v>134</v>
      </c>
      <c r="Y19" s="10">
        <v>43301</v>
      </c>
      <c r="Z19" s="11">
        <v>9448510301</v>
      </c>
      <c r="AA19" s="12" t="s">
        <v>104</v>
      </c>
      <c r="AB19" s="11" t="s">
        <v>105</v>
      </c>
      <c r="AC19" s="12" t="s">
        <v>106</v>
      </c>
      <c r="AD19" s="11" t="s">
        <v>61</v>
      </c>
      <c r="AE19" s="12" t="s">
        <v>62</v>
      </c>
      <c r="AF19" s="14">
        <v>2.3689000000000002E-2</v>
      </c>
      <c r="AG19" s="11" t="s">
        <v>107</v>
      </c>
    </row>
    <row r="20" spans="1:33" x14ac:dyDescent="0.2">
      <c r="A20" s="8">
        <v>3952</v>
      </c>
      <c r="B20" s="9" t="s">
        <v>98</v>
      </c>
      <c r="C20" s="10">
        <v>43305</v>
      </c>
      <c r="D20" s="11">
        <v>185</v>
      </c>
      <c r="E20" s="12" t="s">
        <v>34</v>
      </c>
      <c r="F20" s="12" t="s">
        <v>35</v>
      </c>
      <c r="G20" s="12" t="s">
        <v>36</v>
      </c>
      <c r="H20" s="12" t="s">
        <v>37</v>
      </c>
      <c r="I20" s="11" t="s">
        <v>108</v>
      </c>
      <c r="J20" s="12" t="s">
        <v>109</v>
      </c>
      <c r="K20" s="13" t="s">
        <v>57</v>
      </c>
      <c r="L20" s="11" t="str">
        <f>"000265"</f>
        <v>000265</v>
      </c>
      <c r="M20" s="10">
        <v>42459</v>
      </c>
      <c r="N20" s="11" t="str">
        <f>"000033"</f>
        <v>000033</v>
      </c>
      <c r="O20" s="10">
        <v>42581</v>
      </c>
      <c r="P20" s="11" t="str">
        <f>"000111"</f>
        <v>000111</v>
      </c>
      <c r="Q20" s="10">
        <v>42605</v>
      </c>
      <c r="R20" s="11">
        <v>16</v>
      </c>
      <c r="S20" s="11" t="str">
        <f>"004095"</f>
        <v>004095</v>
      </c>
      <c r="T20" s="10">
        <v>43301</v>
      </c>
      <c r="U20" s="14">
        <v>48.999000000000002</v>
      </c>
      <c r="V20" s="14">
        <v>8.1690000000000005</v>
      </c>
      <c r="W20" s="14">
        <v>40.83</v>
      </c>
      <c r="X20" s="11">
        <v>139</v>
      </c>
      <c r="Y20" s="10">
        <v>43305</v>
      </c>
      <c r="Z20" s="11">
        <v>9845183166</v>
      </c>
      <c r="AA20" s="12" t="s">
        <v>110</v>
      </c>
      <c r="AB20" s="11" t="s">
        <v>111</v>
      </c>
      <c r="AC20" s="12" t="s">
        <v>112</v>
      </c>
      <c r="AD20" s="11" t="s">
        <v>44</v>
      </c>
      <c r="AE20" s="12" t="s">
        <v>45</v>
      </c>
      <c r="AF20" s="14">
        <v>0.48999000000000004</v>
      </c>
      <c r="AG20" s="11" t="s">
        <v>46</v>
      </c>
    </row>
    <row r="21" spans="1:33" x14ac:dyDescent="0.2">
      <c r="A21" s="8">
        <v>4902</v>
      </c>
      <c r="B21" s="9" t="s">
        <v>113</v>
      </c>
      <c r="C21" s="10">
        <v>43326</v>
      </c>
      <c r="D21" s="11">
        <v>185</v>
      </c>
      <c r="E21" s="12" t="s">
        <v>34</v>
      </c>
      <c r="F21" s="12" t="s">
        <v>35</v>
      </c>
      <c r="G21" s="12" t="s">
        <v>36</v>
      </c>
      <c r="H21" s="12" t="s">
        <v>37</v>
      </c>
      <c r="I21" s="11" t="s">
        <v>114</v>
      </c>
      <c r="J21" s="12" t="s">
        <v>115</v>
      </c>
      <c r="K21" s="13" t="s">
        <v>57</v>
      </c>
      <c r="L21" s="11" t="str">
        <f>"000266"</f>
        <v>000266</v>
      </c>
      <c r="M21" s="10">
        <v>42459</v>
      </c>
      <c r="N21" s="11" t="str">
        <f>"000057"</f>
        <v>000057</v>
      </c>
      <c r="O21" s="10">
        <v>42611</v>
      </c>
      <c r="P21" s="11" t="str">
        <f>"000130"</f>
        <v>000130</v>
      </c>
      <c r="Q21" s="10">
        <v>42612</v>
      </c>
      <c r="R21" s="11">
        <v>16</v>
      </c>
      <c r="S21" s="11" t="str">
        <f>"004995"</f>
        <v>004995</v>
      </c>
      <c r="T21" s="10">
        <v>43320</v>
      </c>
      <c r="U21" s="14">
        <v>48.990200000000002</v>
      </c>
      <c r="V21" s="14">
        <v>7.8627000000000002</v>
      </c>
      <c r="W21" s="14">
        <v>41.127499999999998</v>
      </c>
      <c r="X21" s="11">
        <v>170</v>
      </c>
      <c r="Y21" s="10">
        <v>43326</v>
      </c>
      <c r="Z21" s="11">
        <v>9845183166</v>
      </c>
      <c r="AA21" s="12" t="s">
        <v>75</v>
      </c>
      <c r="AB21" s="11" t="s">
        <v>111</v>
      </c>
      <c r="AC21" s="12" t="s">
        <v>112</v>
      </c>
      <c r="AD21" s="11" t="s">
        <v>44</v>
      </c>
      <c r="AE21" s="12" t="s">
        <v>45</v>
      </c>
      <c r="AF21" s="14">
        <v>0.489902</v>
      </c>
      <c r="AG21" s="11" t="s">
        <v>46</v>
      </c>
    </row>
    <row r="22" spans="1:33" x14ac:dyDescent="0.2">
      <c r="A22" s="8">
        <v>4903</v>
      </c>
      <c r="B22" s="9" t="s">
        <v>113</v>
      </c>
      <c r="C22" s="10">
        <v>43326</v>
      </c>
      <c r="D22" s="11">
        <v>185</v>
      </c>
      <c r="E22" s="12" t="s">
        <v>34</v>
      </c>
      <c r="F22" s="12" t="s">
        <v>35</v>
      </c>
      <c r="G22" s="12" t="s">
        <v>36</v>
      </c>
      <c r="H22" s="12" t="s">
        <v>37</v>
      </c>
      <c r="I22" s="11" t="s">
        <v>116</v>
      </c>
      <c r="J22" s="12" t="s">
        <v>117</v>
      </c>
      <c r="K22" s="13" t="s">
        <v>40</v>
      </c>
      <c r="L22" s="11" t="str">
        <f>"000160"</f>
        <v>000160</v>
      </c>
      <c r="M22" s="10">
        <v>42760</v>
      </c>
      <c r="N22" s="11" t="str">
        <f>"000099"</f>
        <v>000099</v>
      </c>
      <c r="O22" s="10">
        <v>42793</v>
      </c>
      <c r="P22" s="11" t="str">
        <f>"000256"</f>
        <v>000256</v>
      </c>
      <c r="Q22" s="10">
        <v>42793</v>
      </c>
      <c r="R22" s="11">
        <v>16</v>
      </c>
      <c r="S22" s="11" t="str">
        <f>"005049"</f>
        <v>005049</v>
      </c>
      <c r="T22" s="10">
        <v>43322</v>
      </c>
      <c r="U22" s="14">
        <v>3.6160000000000001</v>
      </c>
      <c r="V22" s="14">
        <v>0.44529999999999997</v>
      </c>
      <c r="W22" s="14">
        <v>3.1707000000000001</v>
      </c>
      <c r="X22" s="11">
        <v>170</v>
      </c>
      <c r="Y22" s="10">
        <v>43326</v>
      </c>
      <c r="Z22" s="11">
        <v>9900197571</v>
      </c>
      <c r="AA22" s="12" t="s">
        <v>118</v>
      </c>
      <c r="AB22" s="11" t="s">
        <v>119</v>
      </c>
      <c r="AC22" s="12" t="s">
        <v>120</v>
      </c>
      <c r="AD22" s="11" t="s">
        <v>44</v>
      </c>
      <c r="AE22" s="12" t="s">
        <v>45</v>
      </c>
      <c r="AF22" s="14">
        <v>3.6159999999999998E-2</v>
      </c>
      <c r="AG22" s="11" t="s">
        <v>46</v>
      </c>
    </row>
    <row r="23" spans="1:33" x14ac:dyDescent="0.2">
      <c r="A23" s="8">
        <v>5346</v>
      </c>
      <c r="B23" s="9" t="s">
        <v>121</v>
      </c>
      <c r="C23" s="10">
        <v>43346</v>
      </c>
      <c r="D23" s="11">
        <v>185</v>
      </c>
      <c r="E23" s="12" t="s">
        <v>34</v>
      </c>
      <c r="F23" s="12" t="s">
        <v>35</v>
      </c>
      <c r="G23" s="12" t="s">
        <v>36</v>
      </c>
      <c r="H23" s="12" t="s">
        <v>37</v>
      </c>
      <c r="I23" s="11" t="s">
        <v>122</v>
      </c>
      <c r="J23" s="12" t="s">
        <v>123</v>
      </c>
      <c r="K23" s="13" t="s">
        <v>57</v>
      </c>
      <c r="L23" s="11" t="str">
        <f>"000199"</f>
        <v>000199</v>
      </c>
      <c r="M23" s="10">
        <v>42800</v>
      </c>
      <c r="N23" s="11" t="str">
        <f>"000040"</f>
        <v>000040</v>
      </c>
      <c r="O23" s="10">
        <v>42916</v>
      </c>
      <c r="P23" s="11" t="str">
        <f>"000127"</f>
        <v>000127</v>
      </c>
      <c r="Q23" s="10">
        <v>42916</v>
      </c>
      <c r="R23" s="11">
        <v>17</v>
      </c>
      <c r="S23" s="11" t="str">
        <f>"005486"</f>
        <v>005486</v>
      </c>
      <c r="T23" s="10">
        <v>43340</v>
      </c>
      <c r="U23" s="14">
        <v>17.949000000000002</v>
      </c>
      <c r="V23" s="14">
        <v>2.6212</v>
      </c>
      <c r="W23" s="14">
        <v>15.3278</v>
      </c>
      <c r="X23" s="11">
        <v>189</v>
      </c>
      <c r="Y23" s="10">
        <v>43346</v>
      </c>
      <c r="Z23" s="11">
        <v>9845131166</v>
      </c>
      <c r="AA23" s="12" t="s">
        <v>75</v>
      </c>
      <c r="AB23" s="11" t="s">
        <v>124</v>
      </c>
      <c r="AC23" s="12" t="s">
        <v>125</v>
      </c>
      <c r="AD23" s="11" t="s">
        <v>44</v>
      </c>
      <c r="AE23" s="12" t="s">
        <v>45</v>
      </c>
      <c r="AF23" s="14">
        <f t="shared" ref="AF23:AF41" si="0">U23/100</f>
        <v>0.17949000000000001</v>
      </c>
      <c r="AG23" s="11" t="s">
        <v>46</v>
      </c>
    </row>
    <row r="24" spans="1:33" x14ac:dyDescent="0.2">
      <c r="A24" s="8">
        <v>5347</v>
      </c>
      <c r="B24" s="9" t="s">
        <v>121</v>
      </c>
      <c r="C24" s="10">
        <v>43346</v>
      </c>
      <c r="D24" s="11">
        <v>185</v>
      </c>
      <c r="E24" s="12" t="s">
        <v>34</v>
      </c>
      <c r="F24" s="12" t="s">
        <v>35</v>
      </c>
      <c r="G24" s="12" t="s">
        <v>36</v>
      </c>
      <c r="H24" s="12" t="s">
        <v>37</v>
      </c>
      <c r="I24" s="11" t="s">
        <v>126</v>
      </c>
      <c r="J24" s="12" t="s">
        <v>127</v>
      </c>
      <c r="K24" s="13" t="s">
        <v>57</v>
      </c>
      <c r="L24" s="11" t="str">
        <f>"000198"</f>
        <v>000198</v>
      </c>
      <c r="M24" s="10">
        <v>42800</v>
      </c>
      <c r="N24" s="11" t="str">
        <f>"000039"</f>
        <v>000039</v>
      </c>
      <c r="O24" s="10">
        <v>42916</v>
      </c>
      <c r="P24" s="11" t="str">
        <f>"000128"</f>
        <v>000128</v>
      </c>
      <c r="Q24" s="10">
        <v>42916</v>
      </c>
      <c r="R24" s="11">
        <v>17</v>
      </c>
      <c r="S24" s="11" t="str">
        <f>"005487"</f>
        <v>005487</v>
      </c>
      <c r="T24" s="10">
        <v>43340</v>
      </c>
      <c r="U24" s="14">
        <v>19.9512</v>
      </c>
      <c r="V24" s="14">
        <v>2.915</v>
      </c>
      <c r="W24" s="14">
        <v>17.036200000000001</v>
      </c>
      <c r="X24" s="11">
        <v>189</v>
      </c>
      <c r="Y24" s="10">
        <v>43346</v>
      </c>
      <c r="Z24" s="11">
        <v>9900218893</v>
      </c>
      <c r="AA24" s="12" t="s">
        <v>75</v>
      </c>
      <c r="AB24" s="11" t="s">
        <v>124</v>
      </c>
      <c r="AC24" s="12" t="s">
        <v>125</v>
      </c>
      <c r="AD24" s="11" t="s">
        <v>44</v>
      </c>
      <c r="AE24" s="12" t="s">
        <v>45</v>
      </c>
      <c r="AF24" s="14">
        <f t="shared" si="0"/>
        <v>0.19951199999999999</v>
      </c>
      <c r="AG24" s="11" t="s">
        <v>46</v>
      </c>
    </row>
    <row r="25" spans="1:33" x14ac:dyDescent="0.2">
      <c r="A25" s="8">
        <v>5567</v>
      </c>
      <c r="B25" s="9" t="s">
        <v>121</v>
      </c>
      <c r="C25" s="10">
        <v>43363</v>
      </c>
      <c r="D25" s="11">
        <v>185</v>
      </c>
      <c r="E25" s="12" t="s">
        <v>34</v>
      </c>
      <c r="F25" s="12" t="s">
        <v>35</v>
      </c>
      <c r="G25" s="12" t="s">
        <v>36</v>
      </c>
      <c r="H25" s="12" t="s">
        <v>37</v>
      </c>
      <c r="I25" s="11" t="s">
        <v>128</v>
      </c>
      <c r="J25" s="12" t="s">
        <v>129</v>
      </c>
      <c r="K25" s="13" t="s">
        <v>53</v>
      </c>
      <c r="L25" s="11" t="str">
        <f>"000038"</f>
        <v>000038</v>
      </c>
      <c r="M25" s="10">
        <v>43185</v>
      </c>
      <c r="N25" s="11" t="str">
        <f>"000022"</f>
        <v>000022</v>
      </c>
      <c r="O25" s="10">
        <v>43307</v>
      </c>
      <c r="P25" s="11" t="str">
        <f>"000022"</f>
        <v>000022</v>
      </c>
      <c r="Q25" s="10">
        <v>43307</v>
      </c>
      <c r="R25" s="11">
        <v>17</v>
      </c>
      <c r="S25" s="11" t="str">
        <f>"005801"</f>
        <v>005801</v>
      </c>
      <c r="T25" s="10">
        <v>43361</v>
      </c>
      <c r="U25" s="14">
        <v>1.56</v>
      </c>
      <c r="V25" s="14">
        <v>0.11122</v>
      </c>
      <c r="W25" s="14">
        <v>1.44878</v>
      </c>
      <c r="X25" s="11">
        <v>208</v>
      </c>
      <c r="Y25" s="10">
        <v>43363</v>
      </c>
      <c r="Z25" s="11">
        <v>9999999999</v>
      </c>
      <c r="AA25" s="12" t="s">
        <v>130</v>
      </c>
      <c r="AB25" s="11" t="s">
        <v>59</v>
      </c>
      <c r="AC25" s="12" t="s">
        <v>60</v>
      </c>
      <c r="AD25" s="11" t="s">
        <v>131</v>
      </c>
      <c r="AE25" s="12" t="s">
        <v>132</v>
      </c>
      <c r="AF25" s="14">
        <f t="shared" si="0"/>
        <v>1.5600000000000001E-2</v>
      </c>
      <c r="AG25" s="11" t="s">
        <v>101</v>
      </c>
    </row>
    <row r="26" spans="1:33" x14ac:dyDescent="0.2">
      <c r="A26" s="8">
        <v>6657</v>
      </c>
      <c r="B26" s="9" t="s">
        <v>133</v>
      </c>
      <c r="C26" s="10">
        <v>43389</v>
      </c>
      <c r="D26" s="11">
        <v>185</v>
      </c>
      <c r="E26" s="12" t="s">
        <v>34</v>
      </c>
      <c r="F26" s="12" t="s">
        <v>35</v>
      </c>
      <c r="G26" s="12" t="s">
        <v>36</v>
      </c>
      <c r="H26" s="12" t="s">
        <v>37</v>
      </c>
      <c r="I26" s="11" t="s">
        <v>134</v>
      </c>
      <c r="J26" s="12" t="s">
        <v>135</v>
      </c>
      <c r="K26" s="13" t="s">
        <v>40</v>
      </c>
      <c r="L26" s="11" t="str">
        <f>"000209"</f>
        <v>000209</v>
      </c>
      <c r="M26" s="10">
        <v>42811</v>
      </c>
      <c r="N26" s="11" t="str">
        <f>"000009"</f>
        <v>000009</v>
      </c>
      <c r="O26" s="10">
        <v>42870</v>
      </c>
      <c r="P26" s="11" t="str">
        <f>"000039"</f>
        <v>000039</v>
      </c>
      <c r="Q26" s="10">
        <v>42872</v>
      </c>
      <c r="R26" s="11">
        <v>17</v>
      </c>
      <c r="S26" s="11" t="str">
        <f>"006580"</f>
        <v>006580</v>
      </c>
      <c r="T26" s="10">
        <v>43383</v>
      </c>
      <c r="U26" s="14">
        <v>18.096</v>
      </c>
      <c r="V26" s="14">
        <v>2.5943999999999998</v>
      </c>
      <c r="W26" s="14">
        <v>15.5016</v>
      </c>
      <c r="X26" s="11">
        <v>243</v>
      </c>
      <c r="Y26" s="10">
        <v>43389</v>
      </c>
      <c r="Z26" s="11">
        <v>9980489228</v>
      </c>
      <c r="AA26" s="12" t="s">
        <v>136</v>
      </c>
      <c r="AB26" s="11" t="s">
        <v>93</v>
      </c>
      <c r="AC26" s="12" t="s">
        <v>94</v>
      </c>
      <c r="AD26" s="11" t="s">
        <v>44</v>
      </c>
      <c r="AE26" s="12" t="s">
        <v>45</v>
      </c>
      <c r="AF26" s="14">
        <f t="shared" si="0"/>
        <v>0.18096000000000001</v>
      </c>
      <c r="AG26" s="11" t="s">
        <v>46</v>
      </c>
    </row>
    <row r="27" spans="1:33" x14ac:dyDescent="0.2">
      <c r="A27" s="8">
        <v>7179</v>
      </c>
      <c r="B27" s="9" t="s">
        <v>137</v>
      </c>
      <c r="C27" s="10">
        <v>43418</v>
      </c>
      <c r="D27" s="11">
        <v>185</v>
      </c>
      <c r="E27" s="12" t="s">
        <v>34</v>
      </c>
      <c r="F27" s="12" t="s">
        <v>35</v>
      </c>
      <c r="G27" s="12" t="s">
        <v>36</v>
      </c>
      <c r="H27" s="12" t="s">
        <v>37</v>
      </c>
      <c r="I27" s="11" t="s">
        <v>138</v>
      </c>
      <c r="J27" s="12" t="s">
        <v>139</v>
      </c>
      <c r="K27" s="13" t="s">
        <v>69</v>
      </c>
      <c r="L27" s="11" t="str">
        <f>"000232"</f>
        <v>000232</v>
      </c>
      <c r="M27" s="10">
        <v>42824</v>
      </c>
      <c r="N27" s="11" t="str">
        <f>"000024"</f>
        <v>000024</v>
      </c>
      <c r="O27" s="10">
        <v>43118</v>
      </c>
      <c r="P27" s="11" t="str">
        <f>"000075"</f>
        <v>000075</v>
      </c>
      <c r="Q27" s="10">
        <v>43154</v>
      </c>
      <c r="R27" s="11">
        <v>17</v>
      </c>
      <c r="S27" s="11" t="str">
        <f>"007228"</f>
        <v>007228</v>
      </c>
      <c r="T27" s="10">
        <v>43404</v>
      </c>
      <c r="U27" s="14">
        <v>19.996200000000002</v>
      </c>
      <c r="V27" s="14">
        <v>2.14</v>
      </c>
      <c r="W27" s="14">
        <v>17.856200000000001</v>
      </c>
      <c r="X27" s="11">
        <v>261</v>
      </c>
      <c r="Y27" s="10">
        <v>43418</v>
      </c>
      <c r="Z27" s="11">
        <v>9916481607</v>
      </c>
      <c r="AA27" s="12" t="s">
        <v>97</v>
      </c>
      <c r="AB27" s="11" t="s">
        <v>71</v>
      </c>
      <c r="AC27" s="12" t="s">
        <v>72</v>
      </c>
      <c r="AD27" s="11" t="s">
        <v>44</v>
      </c>
      <c r="AE27" s="12" t="s">
        <v>45</v>
      </c>
      <c r="AF27" s="14">
        <f t="shared" si="0"/>
        <v>0.19996200000000003</v>
      </c>
      <c r="AG27" s="11" t="s">
        <v>46</v>
      </c>
    </row>
    <row r="28" spans="1:33" x14ac:dyDescent="0.2">
      <c r="A28" s="8">
        <v>7281</v>
      </c>
      <c r="B28" s="9" t="s">
        <v>137</v>
      </c>
      <c r="C28" s="10">
        <v>43420</v>
      </c>
      <c r="D28" s="11">
        <v>185</v>
      </c>
      <c r="E28" s="12" t="s">
        <v>34</v>
      </c>
      <c r="F28" s="12" t="s">
        <v>35</v>
      </c>
      <c r="G28" s="12" t="s">
        <v>36</v>
      </c>
      <c r="H28" s="12" t="s">
        <v>37</v>
      </c>
      <c r="I28" s="11" t="s">
        <v>140</v>
      </c>
      <c r="J28" s="12" t="s">
        <v>141</v>
      </c>
      <c r="K28" s="13" t="s">
        <v>57</v>
      </c>
      <c r="L28" s="11" t="str">
        <f>"00208a"</f>
        <v>00208a</v>
      </c>
      <c r="M28" s="10">
        <v>42811</v>
      </c>
      <c r="N28" s="11" t="str">
        <f>"000008"</f>
        <v>000008</v>
      </c>
      <c r="O28" s="10">
        <v>42870</v>
      </c>
      <c r="P28" s="11" t="str">
        <f>"000040"</f>
        <v>000040</v>
      </c>
      <c r="Q28" s="10">
        <v>42872</v>
      </c>
      <c r="R28" s="11">
        <v>17</v>
      </c>
      <c r="S28" s="11" t="str">
        <f>"007293"</f>
        <v>007293</v>
      </c>
      <c r="T28" s="10">
        <v>43407</v>
      </c>
      <c r="U28" s="14">
        <v>18.291</v>
      </c>
      <c r="V28" s="14">
        <v>2.4272</v>
      </c>
      <c r="W28" s="14">
        <v>15.863799999999999</v>
      </c>
      <c r="X28" s="11">
        <v>266</v>
      </c>
      <c r="Y28" s="10">
        <v>43420</v>
      </c>
      <c r="Z28" s="11">
        <v>9980489228</v>
      </c>
      <c r="AA28" s="12" t="s">
        <v>142</v>
      </c>
      <c r="AB28" s="11" t="s">
        <v>93</v>
      </c>
      <c r="AC28" s="12" t="s">
        <v>94</v>
      </c>
      <c r="AD28" s="11" t="s">
        <v>44</v>
      </c>
      <c r="AE28" s="12" t="s">
        <v>45</v>
      </c>
      <c r="AF28" s="14">
        <f t="shared" si="0"/>
        <v>0.18291000000000002</v>
      </c>
      <c r="AG28" s="11" t="s">
        <v>46</v>
      </c>
    </row>
    <row r="29" spans="1:33" x14ac:dyDescent="0.2">
      <c r="A29" s="8">
        <v>7282</v>
      </c>
      <c r="B29" s="9" t="s">
        <v>137</v>
      </c>
      <c r="C29" s="10">
        <v>43420</v>
      </c>
      <c r="D29" s="11">
        <v>185</v>
      </c>
      <c r="E29" s="12" t="s">
        <v>34</v>
      </c>
      <c r="F29" s="12" t="s">
        <v>35</v>
      </c>
      <c r="G29" s="12" t="s">
        <v>36</v>
      </c>
      <c r="H29" s="12" t="s">
        <v>37</v>
      </c>
      <c r="I29" s="11" t="s">
        <v>143</v>
      </c>
      <c r="J29" s="12" t="s">
        <v>144</v>
      </c>
      <c r="K29" s="13" t="s">
        <v>40</v>
      </c>
      <c r="L29" s="11" t="str">
        <f>"000034"</f>
        <v>000034</v>
      </c>
      <c r="M29" s="10">
        <v>42506</v>
      </c>
      <c r="N29" s="11" t="str">
        <f>"000093"</f>
        <v>000093</v>
      </c>
      <c r="O29" s="10">
        <v>42762</v>
      </c>
      <c r="P29" s="11" t="str">
        <f>"000267"</f>
        <v>000267</v>
      </c>
      <c r="Q29" s="10">
        <v>42794</v>
      </c>
      <c r="R29" s="11">
        <v>16</v>
      </c>
      <c r="S29" s="11" t="str">
        <f>"007231"</f>
        <v>007231</v>
      </c>
      <c r="T29" s="10">
        <v>43406</v>
      </c>
      <c r="U29" s="14">
        <v>16.631699999999999</v>
      </c>
      <c r="V29" s="14">
        <v>2.5266000000000002</v>
      </c>
      <c r="W29" s="14">
        <v>14.1051</v>
      </c>
      <c r="X29" s="11">
        <v>267</v>
      </c>
      <c r="Y29" s="10">
        <v>43420</v>
      </c>
      <c r="Z29" s="11">
        <v>9986096015</v>
      </c>
      <c r="AA29" s="12" t="s">
        <v>145</v>
      </c>
      <c r="AB29" s="11" t="s">
        <v>76</v>
      </c>
      <c r="AC29" s="12" t="s">
        <v>77</v>
      </c>
      <c r="AD29" s="11" t="s">
        <v>44</v>
      </c>
      <c r="AE29" s="12" t="s">
        <v>45</v>
      </c>
      <c r="AF29" s="14">
        <f t="shared" si="0"/>
        <v>0.16631699999999999</v>
      </c>
      <c r="AG29" s="11" t="s">
        <v>46</v>
      </c>
    </row>
    <row r="30" spans="1:33" x14ac:dyDescent="0.2">
      <c r="A30" s="8">
        <v>7283</v>
      </c>
      <c r="B30" s="9" t="s">
        <v>137</v>
      </c>
      <c r="C30" s="10">
        <v>43420</v>
      </c>
      <c r="D30" s="11">
        <v>185</v>
      </c>
      <c r="E30" s="12" t="s">
        <v>34</v>
      </c>
      <c r="F30" s="12" t="s">
        <v>35</v>
      </c>
      <c r="G30" s="12" t="s">
        <v>36</v>
      </c>
      <c r="H30" s="12" t="s">
        <v>37</v>
      </c>
      <c r="I30" s="11" t="s">
        <v>146</v>
      </c>
      <c r="J30" s="12" t="s">
        <v>147</v>
      </c>
      <c r="K30" s="13" t="s">
        <v>40</v>
      </c>
      <c r="L30" s="11" t="str">
        <f>"000037"</f>
        <v>000037</v>
      </c>
      <c r="M30" s="10">
        <v>42506</v>
      </c>
      <c r="N30" s="11" t="str">
        <f>"000097"</f>
        <v>000097</v>
      </c>
      <c r="O30" s="10">
        <v>42762</v>
      </c>
      <c r="P30" s="11" t="str">
        <f>"000268"</f>
        <v>000268</v>
      </c>
      <c r="Q30" s="10">
        <v>42794</v>
      </c>
      <c r="R30" s="11">
        <v>16</v>
      </c>
      <c r="S30" s="11" t="str">
        <f>"007232"</f>
        <v>007232</v>
      </c>
      <c r="T30" s="10">
        <v>43406</v>
      </c>
      <c r="U30" s="14">
        <v>20.54</v>
      </c>
      <c r="V30" s="14">
        <v>3.1619999999999999</v>
      </c>
      <c r="W30" s="14">
        <v>17.378</v>
      </c>
      <c r="X30" s="11">
        <v>267</v>
      </c>
      <c r="Y30" s="10">
        <v>43420</v>
      </c>
      <c r="Z30" s="11">
        <v>9986096015</v>
      </c>
      <c r="AA30" s="12" t="s">
        <v>145</v>
      </c>
      <c r="AB30" s="11" t="s">
        <v>76</v>
      </c>
      <c r="AC30" s="12" t="s">
        <v>77</v>
      </c>
      <c r="AD30" s="11" t="s">
        <v>44</v>
      </c>
      <c r="AE30" s="12" t="s">
        <v>45</v>
      </c>
      <c r="AF30" s="14">
        <f t="shared" si="0"/>
        <v>0.2054</v>
      </c>
      <c r="AG30" s="11" t="s">
        <v>46</v>
      </c>
    </row>
    <row r="31" spans="1:33" x14ac:dyDescent="0.2">
      <c r="A31" s="8">
        <v>7284</v>
      </c>
      <c r="B31" s="9" t="s">
        <v>137</v>
      </c>
      <c r="C31" s="10">
        <v>43420</v>
      </c>
      <c r="D31" s="11">
        <v>185</v>
      </c>
      <c r="E31" s="12" t="s">
        <v>34</v>
      </c>
      <c r="F31" s="12" t="s">
        <v>35</v>
      </c>
      <c r="G31" s="12" t="s">
        <v>36</v>
      </c>
      <c r="H31" s="12" t="s">
        <v>37</v>
      </c>
      <c r="I31" s="11" t="s">
        <v>148</v>
      </c>
      <c r="J31" s="12" t="s">
        <v>149</v>
      </c>
      <c r="K31" s="13" t="s">
        <v>40</v>
      </c>
      <c r="L31" s="11" t="str">
        <f>"000080"</f>
        <v>000080</v>
      </c>
      <c r="M31" s="10">
        <v>42516</v>
      </c>
      <c r="N31" s="11" t="str">
        <f>"000095"</f>
        <v>000095</v>
      </c>
      <c r="O31" s="10">
        <v>42762</v>
      </c>
      <c r="P31" s="11" t="str">
        <f>"000269"</f>
        <v>000269</v>
      </c>
      <c r="Q31" s="10">
        <v>42794</v>
      </c>
      <c r="R31" s="11">
        <v>16</v>
      </c>
      <c r="S31" s="11" t="str">
        <f>"007233"</f>
        <v>007233</v>
      </c>
      <c r="T31" s="10">
        <v>43406</v>
      </c>
      <c r="U31" s="14">
        <v>46.444200000000002</v>
      </c>
      <c r="V31" s="14">
        <v>7.3609</v>
      </c>
      <c r="W31" s="14">
        <v>39.083300000000001</v>
      </c>
      <c r="X31" s="11">
        <v>267</v>
      </c>
      <c r="Y31" s="10">
        <v>43420</v>
      </c>
      <c r="Z31" s="11">
        <v>9986096015</v>
      </c>
      <c r="AA31" s="12" t="s">
        <v>145</v>
      </c>
      <c r="AB31" s="11" t="s">
        <v>76</v>
      </c>
      <c r="AC31" s="12" t="s">
        <v>77</v>
      </c>
      <c r="AD31" s="11" t="s">
        <v>44</v>
      </c>
      <c r="AE31" s="12" t="s">
        <v>45</v>
      </c>
      <c r="AF31" s="14">
        <f t="shared" si="0"/>
        <v>0.46444200000000002</v>
      </c>
      <c r="AG31" s="11" t="s">
        <v>46</v>
      </c>
    </row>
    <row r="32" spans="1:33" x14ac:dyDescent="0.2">
      <c r="A32" s="8">
        <v>7285</v>
      </c>
      <c r="B32" s="9" t="s">
        <v>137</v>
      </c>
      <c r="C32" s="10">
        <v>43420</v>
      </c>
      <c r="D32" s="11">
        <v>185</v>
      </c>
      <c r="E32" s="12" t="s">
        <v>34</v>
      </c>
      <c r="F32" s="12" t="s">
        <v>35</v>
      </c>
      <c r="G32" s="12" t="s">
        <v>36</v>
      </c>
      <c r="H32" s="12" t="s">
        <v>37</v>
      </c>
      <c r="I32" s="11" t="s">
        <v>150</v>
      </c>
      <c r="J32" s="12" t="s">
        <v>151</v>
      </c>
      <c r="K32" s="13" t="s">
        <v>40</v>
      </c>
      <c r="L32" s="11" t="str">
        <f>"000035"</f>
        <v>000035</v>
      </c>
      <c r="M32" s="10">
        <v>42506</v>
      </c>
      <c r="N32" s="11" t="str">
        <f>"000096"</f>
        <v>000096</v>
      </c>
      <c r="O32" s="10">
        <v>42762</v>
      </c>
      <c r="P32" s="11" t="str">
        <f>"000270"</f>
        <v>000270</v>
      </c>
      <c r="Q32" s="10">
        <v>42794</v>
      </c>
      <c r="R32" s="11">
        <v>16</v>
      </c>
      <c r="S32" s="11" t="str">
        <f>"007234"</f>
        <v>007234</v>
      </c>
      <c r="T32" s="10">
        <v>43406</v>
      </c>
      <c r="U32" s="14">
        <v>21.94</v>
      </c>
      <c r="V32" s="14">
        <v>3.3681000000000001</v>
      </c>
      <c r="W32" s="14">
        <v>18.571899999999999</v>
      </c>
      <c r="X32" s="11">
        <v>267</v>
      </c>
      <c r="Y32" s="10">
        <v>43420</v>
      </c>
      <c r="Z32" s="11">
        <v>9986096015</v>
      </c>
      <c r="AA32" s="12" t="s">
        <v>145</v>
      </c>
      <c r="AB32" s="11" t="s">
        <v>76</v>
      </c>
      <c r="AC32" s="12" t="s">
        <v>77</v>
      </c>
      <c r="AD32" s="11" t="s">
        <v>44</v>
      </c>
      <c r="AE32" s="12" t="s">
        <v>45</v>
      </c>
      <c r="AF32" s="14">
        <f t="shared" si="0"/>
        <v>0.21940000000000001</v>
      </c>
      <c r="AG32" s="11" t="s">
        <v>46</v>
      </c>
    </row>
    <row r="33" spans="1:33" x14ac:dyDescent="0.2">
      <c r="A33" s="8">
        <v>7286</v>
      </c>
      <c r="B33" s="9" t="s">
        <v>137</v>
      </c>
      <c r="C33" s="10">
        <v>43420</v>
      </c>
      <c r="D33" s="11">
        <v>185</v>
      </c>
      <c r="E33" s="12" t="s">
        <v>34</v>
      </c>
      <c r="F33" s="12" t="s">
        <v>35</v>
      </c>
      <c r="G33" s="12" t="s">
        <v>36</v>
      </c>
      <c r="H33" s="12" t="s">
        <v>37</v>
      </c>
      <c r="I33" s="11" t="s">
        <v>152</v>
      </c>
      <c r="J33" s="12" t="s">
        <v>153</v>
      </c>
      <c r="K33" s="13" t="s">
        <v>40</v>
      </c>
      <c r="L33" s="11" t="str">
        <f>"000036"</f>
        <v>000036</v>
      </c>
      <c r="M33" s="10">
        <v>42506</v>
      </c>
      <c r="N33" s="11" t="str">
        <f>"000094"</f>
        <v>000094</v>
      </c>
      <c r="O33" s="10">
        <v>42762</v>
      </c>
      <c r="P33" s="11" t="str">
        <f>"000271"</f>
        <v>000271</v>
      </c>
      <c r="Q33" s="10">
        <v>42794</v>
      </c>
      <c r="R33" s="11">
        <v>16</v>
      </c>
      <c r="S33" s="11" t="str">
        <f>"007235"</f>
        <v>007235</v>
      </c>
      <c r="T33" s="10">
        <v>43406</v>
      </c>
      <c r="U33" s="14">
        <v>22.838000000000001</v>
      </c>
      <c r="V33" s="14">
        <v>3.3967999999999998</v>
      </c>
      <c r="W33" s="14">
        <v>19.441199999999998</v>
      </c>
      <c r="X33" s="11">
        <v>267</v>
      </c>
      <c r="Y33" s="10">
        <v>43420</v>
      </c>
      <c r="Z33" s="11">
        <v>9986096015</v>
      </c>
      <c r="AA33" s="12" t="s">
        <v>145</v>
      </c>
      <c r="AB33" s="11" t="s">
        <v>76</v>
      </c>
      <c r="AC33" s="12" t="s">
        <v>77</v>
      </c>
      <c r="AD33" s="11" t="s">
        <v>44</v>
      </c>
      <c r="AE33" s="12" t="s">
        <v>45</v>
      </c>
      <c r="AF33" s="14">
        <f t="shared" si="0"/>
        <v>0.22838</v>
      </c>
      <c r="AG33" s="11" t="s">
        <v>46</v>
      </c>
    </row>
    <row r="34" spans="1:33" x14ac:dyDescent="0.2">
      <c r="A34" s="8">
        <v>7598</v>
      </c>
      <c r="B34" s="9" t="s">
        <v>154</v>
      </c>
      <c r="C34" s="10">
        <v>43437</v>
      </c>
      <c r="D34" s="11">
        <v>185</v>
      </c>
      <c r="E34" s="12" t="s">
        <v>34</v>
      </c>
      <c r="F34" s="12" t="s">
        <v>35</v>
      </c>
      <c r="G34" s="12" t="s">
        <v>36</v>
      </c>
      <c r="H34" s="12" t="s">
        <v>37</v>
      </c>
      <c r="I34" s="11" t="s">
        <v>155</v>
      </c>
      <c r="J34" s="12" t="s">
        <v>156</v>
      </c>
      <c r="K34" s="13" t="s">
        <v>40</v>
      </c>
      <c r="L34" s="11" t="str">
        <f>"000020"</f>
        <v>000020</v>
      </c>
      <c r="M34" s="10">
        <v>42838</v>
      </c>
      <c r="N34" s="11" t="str">
        <f>"000011"</f>
        <v>000011</v>
      </c>
      <c r="O34" s="10">
        <v>42886</v>
      </c>
      <c r="P34" s="11" t="str">
        <f>"000044"</f>
        <v>000044</v>
      </c>
      <c r="Q34" s="10">
        <v>42886</v>
      </c>
      <c r="R34" s="11">
        <v>17</v>
      </c>
      <c r="S34" s="11" t="str">
        <f>"007420"</f>
        <v>007420</v>
      </c>
      <c r="T34" s="10">
        <v>43421</v>
      </c>
      <c r="U34" s="14">
        <v>27.495999999999999</v>
      </c>
      <c r="V34" s="14">
        <v>4.0597000000000003</v>
      </c>
      <c r="W34" s="14">
        <v>23.436299999999999</v>
      </c>
      <c r="X34" s="11">
        <v>279</v>
      </c>
      <c r="Y34" s="10">
        <v>43437</v>
      </c>
      <c r="Z34" s="11">
        <v>9538672091</v>
      </c>
      <c r="AA34" s="12" t="s">
        <v>157</v>
      </c>
      <c r="AB34" s="11" t="s">
        <v>93</v>
      </c>
      <c r="AC34" s="12" t="s">
        <v>94</v>
      </c>
      <c r="AD34" s="11" t="s">
        <v>44</v>
      </c>
      <c r="AE34" s="12" t="s">
        <v>45</v>
      </c>
      <c r="AF34" s="14">
        <f t="shared" si="0"/>
        <v>0.27495999999999998</v>
      </c>
      <c r="AG34" s="11" t="s">
        <v>46</v>
      </c>
    </row>
    <row r="35" spans="1:33" x14ac:dyDescent="0.2">
      <c r="A35" s="8">
        <v>7599</v>
      </c>
      <c r="B35" s="9" t="s">
        <v>154</v>
      </c>
      <c r="C35" s="10">
        <v>43437</v>
      </c>
      <c r="D35" s="11">
        <v>185</v>
      </c>
      <c r="E35" s="12" t="s">
        <v>34</v>
      </c>
      <c r="F35" s="12" t="s">
        <v>35</v>
      </c>
      <c r="G35" s="12" t="s">
        <v>36</v>
      </c>
      <c r="H35" s="12" t="s">
        <v>37</v>
      </c>
      <c r="I35" s="11" t="s">
        <v>158</v>
      </c>
      <c r="J35" s="12" t="s">
        <v>159</v>
      </c>
      <c r="K35" s="13" t="s">
        <v>40</v>
      </c>
      <c r="L35" s="11" t="str">
        <f>"000022"</f>
        <v>000022</v>
      </c>
      <c r="M35" s="10">
        <v>42838</v>
      </c>
      <c r="N35" s="11" t="str">
        <f>"000012"</f>
        <v>000012</v>
      </c>
      <c r="O35" s="10">
        <v>42886</v>
      </c>
      <c r="P35" s="11" t="str">
        <f>"000045"</f>
        <v>000045</v>
      </c>
      <c r="Q35" s="10">
        <v>42886</v>
      </c>
      <c r="R35" s="11">
        <v>17</v>
      </c>
      <c r="S35" s="11" t="str">
        <f>"007421"</f>
        <v>007421</v>
      </c>
      <c r="T35" s="10">
        <v>43421</v>
      </c>
      <c r="U35" s="14">
        <v>32.216999999999999</v>
      </c>
      <c r="V35" s="14">
        <v>4.7652000000000001</v>
      </c>
      <c r="W35" s="14">
        <v>27.451799999999999</v>
      </c>
      <c r="X35" s="11">
        <v>279</v>
      </c>
      <c r="Y35" s="10">
        <v>43437</v>
      </c>
      <c r="Z35" s="11">
        <v>9538672091</v>
      </c>
      <c r="AA35" s="12" t="s">
        <v>160</v>
      </c>
      <c r="AB35" s="11" t="s">
        <v>93</v>
      </c>
      <c r="AC35" s="12" t="s">
        <v>94</v>
      </c>
      <c r="AD35" s="11" t="s">
        <v>44</v>
      </c>
      <c r="AE35" s="12" t="s">
        <v>45</v>
      </c>
      <c r="AF35" s="14">
        <f t="shared" si="0"/>
        <v>0.32217000000000001</v>
      </c>
      <c r="AG35" s="11" t="s">
        <v>46</v>
      </c>
    </row>
    <row r="36" spans="1:33" x14ac:dyDescent="0.2">
      <c r="A36" s="8">
        <v>8656</v>
      </c>
      <c r="B36" s="9" t="s">
        <v>161</v>
      </c>
      <c r="C36" s="10">
        <v>43484</v>
      </c>
      <c r="D36" s="11">
        <v>185</v>
      </c>
      <c r="E36" s="12" t="s">
        <v>34</v>
      </c>
      <c r="F36" s="12" t="s">
        <v>35</v>
      </c>
      <c r="G36" s="12" t="s">
        <v>36</v>
      </c>
      <c r="H36" s="12" t="s">
        <v>37</v>
      </c>
      <c r="I36" s="11" t="s">
        <v>78</v>
      </c>
      <c r="J36" s="12" t="s">
        <v>79</v>
      </c>
      <c r="K36" s="13" t="s">
        <v>53</v>
      </c>
      <c r="L36" s="11" t="str">
        <f>"000315"</f>
        <v>000315</v>
      </c>
      <c r="M36" s="10">
        <v>43143</v>
      </c>
      <c r="N36" s="11" t="str">
        <f>"000123"</f>
        <v>000123</v>
      </c>
      <c r="O36" s="10">
        <v>43417</v>
      </c>
      <c r="P36" s="11" t="str">
        <f>"000309"</f>
        <v>000309</v>
      </c>
      <c r="Q36" s="10">
        <v>43424</v>
      </c>
      <c r="R36" s="11"/>
      <c r="S36" s="11" t="str">
        <f>"008795"</f>
        <v>008795</v>
      </c>
      <c r="T36" s="10">
        <v>43483</v>
      </c>
      <c r="U36" s="14">
        <v>29.62</v>
      </c>
      <c r="V36" s="14">
        <v>1.78457</v>
      </c>
      <c r="W36" s="14">
        <v>27.835429999999999</v>
      </c>
      <c r="X36" s="11">
        <v>329</v>
      </c>
      <c r="Y36" s="10">
        <v>43484</v>
      </c>
      <c r="Z36" s="11">
        <v>9845222227</v>
      </c>
      <c r="AA36" s="12" t="s">
        <v>41</v>
      </c>
      <c r="AB36" s="11" t="s">
        <v>42</v>
      </c>
      <c r="AC36" s="12" t="s">
        <v>43</v>
      </c>
      <c r="AD36" s="11" t="s">
        <v>44</v>
      </c>
      <c r="AE36" s="12" t="s">
        <v>45</v>
      </c>
      <c r="AF36" s="14">
        <f t="shared" si="0"/>
        <v>0.29620000000000002</v>
      </c>
      <c r="AG36" s="11" t="s">
        <v>101</v>
      </c>
    </row>
    <row r="37" spans="1:33" x14ac:dyDescent="0.2">
      <c r="A37" s="8">
        <v>9746</v>
      </c>
      <c r="B37" s="9" t="s">
        <v>162</v>
      </c>
      <c r="C37" s="10">
        <v>43544</v>
      </c>
      <c r="D37" s="11">
        <v>185</v>
      </c>
      <c r="E37" s="12" t="s">
        <v>34</v>
      </c>
      <c r="F37" s="12" t="s">
        <v>35</v>
      </c>
      <c r="G37" s="12" t="s">
        <v>36</v>
      </c>
      <c r="H37" s="12" t="s">
        <v>37</v>
      </c>
      <c r="I37" s="11" t="s">
        <v>163</v>
      </c>
      <c r="J37" s="12" t="s">
        <v>164</v>
      </c>
      <c r="K37" s="15" t="s">
        <v>96</v>
      </c>
      <c r="L37" s="11" t="str">
        <f>"000367"</f>
        <v>000367</v>
      </c>
      <c r="M37" s="10">
        <v>43150</v>
      </c>
      <c r="N37" s="11" t="str">
        <f>"000043"</f>
        <v>000043</v>
      </c>
      <c r="O37" s="10">
        <v>43250</v>
      </c>
      <c r="P37" s="11" t="str">
        <f>"000104"</f>
        <v>000104</v>
      </c>
      <c r="Q37" s="10">
        <v>43250</v>
      </c>
      <c r="R37" s="11"/>
      <c r="S37" s="11" t="str">
        <f>"009782"</f>
        <v>009782</v>
      </c>
      <c r="T37" s="10">
        <v>43538</v>
      </c>
      <c r="U37" s="14">
        <v>48.508000000000003</v>
      </c>
      <c r="V37" s="14">
        <v>5.2366999999999999</v>
      </c>
      <c r="W37" s="14">
        <v>43.271299999999997</v>
      </c>
      <c r="X37" s="11">
        <v>378</v>
      </c>
      <c r="Y37" s="10">
        <v>43544</v>
      </c>
      <c r="Z37" s="11">
        <v>9900197571</v>
      </c>
      <c r="AA37" s="12" t="s">
        <v>165</v>
      </c>
      <c r="AB37" s="11" t="s">
        <v>111</v>
      </c>
      <c r="AC37" s="12" t="s">
        <v>112</v>
      </c>
      <c r="AD37" s="11" t="s">
        <v>44</v>
      </c>
      <c r="AE37" s="12" t="s">
        <v>45</v>
      </c>
      <c r="AF37" s="14">
        <f t="shared" si="0"/>
        <v>0.48508000000000001</v>
      </c>
      <c r="AG37" s="11" t="s">
        <v>101</v>
      </c>
    </row>
    <row r="38" spans="1:33" x14ac:dyDescent="0.2">
      <c r="A38" s="8">
        <v>9761</v>
      </c>
      <c r="B38" s="9" t="s">
        <v>162</v>
      </c>
      <c r="C38" s="10">
        <v>43544</v>
      </c>
      <c r="D38" s="11">
        <v>185</v>
      </c>
      <c r="E38" s="12" t="s">
        <v>34</v>
      </c>
      <c r="F38" s="12" t="s">
        <v>35</v>
      </c>
      <c r="G38" s="12" t="s">
        <v>36</v>
      </c>
      <c r="H38" s="12" t="s">
        <v>37</v>
      </c>
      <c r="I38" s="11" t="s">
        <v>166</v>
      </c>
      <c r="J38" s="12" t="s">
        <v>167</v>
      </c>
      <c r="K38" s="13" t="s">
        <v>96</v>
      </c>
      <c r="L38" s="11" t="str">
        <f>"000013"</f>
        <v>000013</v>
      </c>
      <c r="M38" s="10">
        <v>43243</v>
      </c>
      <c r="N38" s="11" t="str">
        <f>"000045"</f>
        <v>000045</v>
      </c>
      <c r="O38" s="10">
        <v>43251</v>
      </c>
      <c r="P38" s="11" t="str">
        <f>"000127"</f>
        <v>000127</v>
      </c>
      <c r="Q38" s="10">
        <v>43251</v>
      </c>
      <c r="R38" s="11"/>
      <c r="S38" s="11" t="str">
        <f>"009810"</f>
        <v>009810</v>
      </c>
      <c r="T38" s="10">
        <v>43539</v>
      </c>
      <c r="U38" s="14">
        <v>19.173999999999999</v>
      </c>
      <c r="V38" s="14">
        <v>2.0819999999999999</v>
      </c>
      <c r="W38" s="14">
        <v>17.091999999999999</v>
      </c>
      <c r="X38" s="11">
        <v>378</v>
      </c>
      <c r="Y38" s="10">
        <v>43544</v>
      </c>
      <c r="Z38" s="11">
        <v>9742394755</v>
      </c>
      <c r="AA38" s="12" t="s">
        <v>168</v>
      </c>
      <c r="AB38" s="11" t="s">
        <v>71</v>
      </c>
      <c r="AC38" s="12" t="s">
        <v>72</v>
      </c>
      <c r="AD38" s="11" t="s">
        <v>44</v>
      </c>
      <c r="AE38" s="12" t="s">
        <v>45</v>
      </c>
      <c r="AF38" s="14">
        <f t="shared" si="0"/>
        <v>0.19173999999999999</v>
      </c>
      <c r="AG38" s="11" t="s">
        <v>107</v>
      </c>
    </row>
    <row r="39" spans="1:33" x14ac:dyDescent="0.2">
      <c r="A39" s="8">
        <v>10010</v>
      </c>
      <c r="B39" s="9" t="s">
        <v>162</v>
      </c>
      <c r="C39" s="10">
        <v>43552</v>
      </c>
      <c r="D39" s="11">
        <v>185</v>
      </c>
      <c r="E39" s="12" t="s">
        <v>34</v>
      </c>
      <c r="F39" s="12" t="s">
        <v>35</v>
      </c>
      <c r="G39" s="12" t="s">
        <v>36</v>
      </c>
      <c r="H39" s="12" t="s">
        <v>37</v>
      </c>
      <c r="I39" s="11" t="s">
        <v>169</v>
      </c>
      <c r="J39" s="12" t="s">
        <v>170</v>
      </c>
      <c r="K39" s="13" t="s">
        <v>40</v>
      </c>
      <c r="L39" s="11" t="str">
        <f>"000013"</f>
        <v>000013</v>
      </c>
      <c r="M39" s="10">
        <v>42895</v>
      </c>
      <c r="N39" s="11" t="str">
        <f>"000036"</f>
        <v>000036</v>
      </c>
      <c r="O39" s="10">
        <v>42916</v>
      </c>
      <c r="P39" s="11" t="str">
        <f>"000036"</f>
        <v>000036</v>
      </c>
      <c r="Q39" s="10">
        <v>42916</v>
      </c>
      <c r="R39" s="11"/>
      <c r="S39" s="11" t="str">
        <f>"010072"</f>
        <v>010072</v>
      </c>
      <c r="T39" s="10">
        <v>43552</v>
      </c>
      <c r="U39" s="14">
        <v>29.87932</v>
      </c>
      <c r="V39" s="14">
        <v>4.0564400000000003</v>
      </c>
      <c r="W39" s="14">
        <v>25.822880000000001</v>
      </c>
      <c r="X39" s="11">
        <v>390</v>
      </c>
      <c r="Y39" s="10">
        <v>43552</v>
      </c>
      <c r="Z39" s="11">
        <v>1010101010</v>
      </c>
      <c r="AA39" s="12" t="s">
        <v>75</v>
      </c>
      <c r="AB39" s="11" t="s">
        <v>171</v>
      </c>
      <c r="AC39" s="12" t="s">
        <v>172</v>
      </c>
      <c r="AD39" s="11" t="s">
        <v>131</v>
      </c>
      <c r="AE39" s="12" t="s">
        <v>132</v>
      </c>
      <c r="AF39" s="14">
        <f t="shared" si="0"/>
        <v>0.29879319999999998</v>
      </c>
      <c r="AG39" s="11" t="s">
        <v>46</v>
      </c>
    </row>
    <row r="40" spans="1:33" x14ac:dyDescent="0.2">
      <c r="A40" s="8">
        <v>10011</v>
      </c>
      <c r="B40" s="9" t="s">
        <v>162</v>
      </c>
      <c r="C40" s="10">
        <v>43552</v>
      </c>
      <c r="D40" s="11">
        <v>185</v>
      </c>
      <c r="E40" s="12" t="s">
        <v>34</v>
      </c>
      <c r="F40" s="12" t="s">
        <v>35</v>
      </c>
      <c r="G40" s="12" t="s">
        <v>36</v>
      </c>
      <c r="H40" s="12" t="s">
        <v>37</v>
      </c>
      <c r="I40" s="11" t="s">
        <v>173</v>
      </c>
      <c r="J40" s="12" t="s">
        <v>174</v>
      </c>
      <c r="K40" s="13" t="s">
        <v>40</v>
      </c>
      <c r="L40" s="11" t="str">
        <f>"000016"</f>
        <v>000016</v>
      </c>
      <c r="M40" s="10">
        <v>42895</v>
      </c>
      <c r="N40" s="11" t="str">
        <f>"000034"</f>
        <v>000034</v>
      </c>
      <c r="O40" s="10">
        <v>42916</v>
      </c>
      <c r="P40" s="11" t="str">
        <f>"000037"</f>
        <v>000037</v>
      </c>
      <c r="Q40" s="10">
        <v>42916</v>
      </c>
      <c r="R40" s="11"/>
      <c r="S40" s="11" t="str">
        <f>"010073"</f>
        <v>010073</v>
      </c>
      <c r="T40" s="10">
        <v>43552</v>
      </c>
      <c r="U40" s="14">
        <v>49.983440000000002</v>
      </c>
      <c r="V40" s="14">
        <v>6.7858000000000001</v>
      </c>
      <c r="W40" s="14">
        <v>43.19764</v>
      </c>
      <c r="X40" s="11">
        <v>390</v>
      </c>
      <c r="Y40" s="10">
        <v>43552</v>
      </c>
      <c r="Z40" s="11">
        <v>1010101010</v>
      </c>
      <c r="AA40" s="12" t="s">
        <v>75</v>
      </c>
      <c r="AB40" s="11" t="s">
        <v>175</v>
      </c>
      <c r="AC40" s="12" t="s">
        <v>176</v>
      </c>
      <c r="AD40" s="11" t="s">
        <v>131</v>
      </c>
      <c r="AE40" s="12" t="s">
        <v>132</v>
      </c>
      <c r="AF40" s="14">
        <f t="shared" si="0"/>
        <v>0.49983440000000001</v>
      </c>
      <c r="AG40" s="11" t="s">
        <v>46</v>
      </c>
    </row>
    <row r="41" spans="1:33" x14ac:dyDescent="0.2">
      <c r="A41" s="8">
        <v>10012</v>
      </c>
      <c r="B41" s="9" t="s">
        <v>162</v>
      </c>
      <c r="C41" s="10">
        <v>43552</v>
      </c>
      <c r="D41" s="11">
        <v>185</v>
      </c>
      <c r="E41" s="12" t="s">
        <v>34</v>
      </c>
      <c r="F41" s="12" t="s">
        <v>35</v>
      </c>
      <c r="G41" s="12" t="s">
        <v>36</v>
      </c>
      <c r="H41" s="12" t="s">
        <v>37</v>
      </c>
      <c r="I41" s="11" t="s">
        <v>177</v>
      </c>
      <c r="J41" s="12" t="s">
        <v>178</v>
      </c>
      <c r="K41" s="13" t="s">
        <v>40</v>
      </c>
      <c r="L41" s="11" t="str">
        <f>"000015"</f>
        <v>000015</v>
      </c>
      <c r="M41" s="10">
        <v>42895</v>
      </c>
      <c r="N41" s="11" t="str">
        <f>"000035"</f>
        <v>000035</v>
      </c>
      <c r="O41" s="10">
        <v>42916</v>
      </c>
      <c r="P41" s="11" t="str">
        <f>"000038"</f>
        <v>000038</v>
      </c>
      <c r="Q41" s="10">
        <v>42916</v>
      </c>
      <c r="R41" s="11"/>
      <c r="S41" s="11" t="str">
        <f>"010074"</f>
        <v>010074</v>
      </c>
      <c r="T41" s="10">
        <v>43552</v>
      </c>
      <c r="U41" s="14">
        <v>69.992379999999997</v>
      </c>
      <c r="V41" s="14">
        <v>9.5022300000000008</v>
      </c>
      <c r="W41" s="14">
        <v>60.49015</v>
      </c>
      <c r="X41" s="11">
        <v>390</v>
      </c>
      <c r="Y41" s="10">
        <v>43552</v>
      </c>
      <c r="Z41" s="11">
        <v>1010101010</v>
      </c>
      <c r="AA41" s="12" t="s">
        <v>75</v>
      </c>
      <c r="AB41" s="11" t="s">
        <v>171</v>
      </c>
      <c r="AC41" s="12" t="s">
        <v>172</v>
      </c>
      <c r="AD41" s="11" t="s">
        <v>131</v>
      </c>
      <c r="AE41" s="12" t="s">
        <v>132</v>
      </c>
      <c r="AF41" s="14">
        <f t="shared" si="0"/>
        <v>0.69992379999999998</v>
      </c>
      <c r="AG41"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2019-06-14T08:44:47Z</dcterms:modified>
</cp:coreProperties>
</file>