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2" i="1" l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<sst xmlns="http://schemas.openxmlformats.org/spreadsheetml/2006/main" count="747" uniqueCount="180">
  <si>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</si>
  <si>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</si>
  <si>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</si>
  <si>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</si>
  <si>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</si>
  <si>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</si>
  <si>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</si>
  <si>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</si>
  <si>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</si>
  <si>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</si>
  <si>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</si>
  <si>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</si>
  <si>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</si>
  <si>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</si>
  <si>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</si>
  <si>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</si>
  <si>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</si>
  <si>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</si>
  <si>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</si>
  <si>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</si>
  <si>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</si>
  <si>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</si>
  <si>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</si>
  <si>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</si>
  <si>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</si>
  <si>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</si>
  <si>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</si>
  <si>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</si>
  <si>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</si>
  <si>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</si>
  <si>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</si>
  <si>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</si>
  <si>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</si>
  <si>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</si>
  <si>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Bilekhalli</t>
  </si>
  <si>
    <t>Arakere</t>
  </si>
  <si>
    <t>Bommana Halli</t>
  </si>
  <si>
    <t>188-16-000003</t>
  </si>
  <si>
    <t>Providing Improvements to drains and roads in ward No. 188 Bilekahalli</t>
  </si>
  <si>
    <t>Footpaths &amp; Walkability</t>
  </si>
  <si>
    <t xml:space="preserve">V CHANDRASHEKAR </t>
  </si>
  <si>
    <t>P1771</t>
  </si>
  <si>
    <t>Zone Works - POW Works</t>
  </si>
  <si>
    <t>ddo442</t>
  </si>
  <si>
    <t xml:space="preserve"> Assistant Executive Engineer Arekere  sub Division Bomanahalli Zone</t>
  </si>
  <si>
    <t>Pending</t>
  </si>
  <si>
    <t>188-16-000022</t>
  </si>
  <si>
    <t>Improvements to Drain in Rotary Nagar Kodichikkanahalli in Ward No 188</t>
  </si>
  <si>
    <t>SRINIVAS MURTHY N</t>
  </si>
  <si>
    <t>P1878</t>
  </si>
  <si>
    <t>18per - Works (Bhagyajyothi, Sooru / Neeru Yojane and General) (54 Lakhs / New Wards)</t>
  </si>
  <si>
    <t>June</t>
  </si>
  <si>
    <t>188-17-000002</t>
  </si>
  <si>
    <t>Providing LED street lights-Sodium vapour street lights and control switches with allied accessories inKodi Chikkanahalli, Vijaya Bank layout and associated areas</t>
  </si>
  <si>
    <t>M/s Executive Engineer- 01  KRIDL</t>
  </si>
  <si>
    <t>P0190</t>
  </si>
  <si>
    <t>Works sanctioned by Hon Mayor</t>
  </si>
  <si>
    <t>ddo439</t>
  </si>
  <si>
    <t xml:space="preserve"> Executive Engineer Electrical Division Bomanahalli Zone</t>
  </si>
  <si>
    <t>188-16-000009</t>
  </si>
  <si>
    <t>Potholes Filling in ward No.188 Bilekahalli</t>
  </si>
  <si>
    <t>Roads &amp; Drivablility</t>
  </si>
  <si>
    <t>Sri.Chandrashekar.V</t>
  </si>
  <si>
    <t>188-17-000056</t>
  </si>
  <si>
    <t>Providing Modren Dust Bin in Bangalore City in ward no 188</t>
  </si>
  <si>
    <t>Other Ward Works</t>
  </si>
  <si>
    <t>P3110</t>
  </si>
  <si>
    <t>14th Finance Commission Grant Works</t>
  </si>
  <si>
    <t>ddo438</t>
  </si>
  <si>
    <t xml:space="preserve"> Executive Engineer Project Division Bomanahalli Zone</t>
  </si>
  <si>
    <t>Spill Over</t>
  </si>
  <si>
    <t>188-14-000010</t>
  </si>
  <si>
    <t>MAINTENANCE OF WARD NO 188 BILEKAHALLI</t>
  </si>
  <si>
    <t>K RAVI</t>
  </si>
  <si>
    <t>188-18-000001</t>
  </si>
  <si>
    <t>Providing ornamental fencing and other development works to park behind Ayyappa Temple in Vijaya Bank Layout of ward no 188</t>
  </si>
  <si>
    <t>Trees, Parks &amp; Playgrounds</t>
  </si>
  <si>
    <t>KRIDL</t>
  </si>
  <si>
    <t>P3292</t>
  </si>
  <si>
    <t>14th Finance Commission Works - Community Property Maintenance (including Parks)</t>
  </si>
  <si>
    <t>July</t>
  </si>
  <si>
    <t>188-16-000001</t>
  </si>
  <si>
    <t>Annual Operation and Maintenance of street lighting system in ward no-188 Package B6 of Bommanahalli zone.</t>
  </si>
  <si>
    <t>M/s Sri Durga Enterprises</t>
  </si>
  <si>
    <t>P0300</t>
  </si>
  <si>
    <t>M and R to Street Lights - Replacement of Burnt Bulbs etc. (Package)</t>
  </si>
  <si>
    <t>Current</t>
  </si>
  <si>
    <t>188-17-000022</t>
  </si>
  <si>
    <t>Improvements and Special repairs to BBMP buildings in ward No. 188 Bilekahalli</t>
  </si>
  <si>
    <t>K Basavaraju</t>
  </si>
  <si>
    <t>188-18-000002</t>
  </si>
  <si>
    <t>Construction of RCC Box drain by the side of Madivala lake from Bridge upto Duo Enclave layout in Bilekahalli ward No. 188 in Bommanahalli zone from Ch: 0.00 to 1000m</t>
  </si>
  <si>
    <t>Sri. H Srinivas Reddy</t>
  </si>
  <si>
    <t>P3106</t>
  </si>
  <si>
    <t>Nagarothana Works</t>
  </si>
  <si>
    <t>ddo313</t>
  </si>
  <si>
    <t xml:space="preserve"> Chief Engineer SWD Central Zone</t>
  </si>
  <si>
    <t>188-17-000055</t>
  </si>
  <si>
    <t>Providing CC Camera at Garbage Block Spots in ward no 188</t>
  </si>
  <si>
    <t>Crime &amp; Safety</t>
  </si>
  <si>
    <t>188-13-000023</t>
  </si>
  <si>
    <t>Construction of RCC drain and concrete roads in Gangaparameshwari layout 3rd cross of ward No. 188</t>
  </si>
  <si>
    <t>SAMPANGI B</t>
  </si>
  <si>
    <t>August</t>
  </si>
  <si>
    <t>188-16-000010</t>
  </si>
  <si>
    <t>Drilling of borewell and erection of pumpset, electrification and necessary accessories and Providing water supply to Roopena Agrahara Dinne, NR Layout in ward No. 188 Bilekahalli</t>
  </si>
  <si>
    <t>Water &amp; Sanitary</t>
  </si>
  <si>
    <t>Sri.V.Chandrashekar</t>
  </si>
  <si>
    <t>P1802</t>
  </si>
  <si>
    <t>Water Supply New Areas</t>
  </si>
  <si>
    <t>188-17-000027</t>
  </si>
  <si>
    <t>Providing RCC drain from Shanimahatma temple to Anjaneya temple in Kodichikkanahalli village of ward No. 188</t>
  </si>
  <si>
    <t>Sri.Sadashiv Charappa Biradar</t>
  </si>
  <si>
    <t>September</t>
  </si>
  <si>
    <t>188-17-000052</t>
  </si>
  <si>
    <t>Development of vijaya bank layout park and installation of childrens outdoor play equipments and outdoor gym equipments at vijaya bank layout in ward no 188</t>
  </si>
  <si>
    <t>188-17-000030</t>
  </si>
  <si>
    <t>Improvements to drains in Abbayappa Layout of Kodichikkanahalli in ward No. 188</t>
  </si>
  <si>
    <t>Sri.Adinarayana</t>
  </si>
  <si>
    <t>188-17-000029</t>
  </si>
  <si>
    <t>Providing RCC drains to Duo Enclave layout of Kodichikkanahalli in ward No. 188</t>
  </si>
  <si>
    <t>October</t>
  </si>
  <si>
    <t>188-17-000037</t>
  </si>
  <si>
    <t>Providing RCC drain and Asphalting to roads to Vijayashree layout and Rotary Nagar</t>
  </si>
  <si>
    <t>M/S RBI TECHNICAL SERVICES</t>
  </si>
  <si>
    <t>P3158</t>
  </si>
  <si>
    <t>SIP Infrastructure Project works</t>
  </si>
  <si>
    <t>188-17-000032</t>
  </si>
  <si>
    <t>Development and improvements to roads and drains in surrounding areas in Bilekahalli ward no 188</t>
  </si>
  <si>
    <t>M/s RBI TECHNICAL SERVICES</t>
  </si>
  <si>
    <t>C G CHANDRAPPA</t>
  </si>
  <si>
    <t>188-17-000036</t>
  </si>
  <si>
    <t xml:space="preserve">Providing RCC drain and Asphalting to roads in Raghavendra colony and HC colony of Bilekahalli </t>
  </si>
  <si>
    <t>188-17-000038</t>
  </si>
  <si>
    <t>Asphalting to roads in Kumba lake city and Vakil Marina layout</t>
  </si>
  <si>
    <t>188-17-000039</t>
  </si>
  <si>
    <t xml:space="preserve">Providing RCC drain and CC roads to Kodichikkanahalli village </t>
  </si>
  <si>
    <t>188-17-000019</t>
  </si>
  <si>
    <t>Providing GYM Equipments and other works Vijaya bank layout Park opp. to Ayyappa temple in ward no 188</t>
  </si>
  <si>
    <t>P0311</t>
  </si>
  <si>
    <t>Landscape Development Of Parks/Medians/Boulevants and Circles(Janoodya Works)</t>
  </si>
  <si>
    <t>Storm Water Drains</t>
  </si>
  <si>
    <t>188-18-000003</t>
  </si>
  <si>
    <t xml:space="preserve">Construction of RCC U-shape drain by the side of Madivala lake from Duo Enclave layout upto Spill way of Madiwala lake from Ch: 1000.00 to 3000m in Bilekahalli ward No. 188 in Bommanahalli zone. </t>
  </si>
  <si>
    <t>188-18-000008</t>
  </si>
  <si>
    <t>Potholes filling in Vijaya Bank layout and surrounding area in ward No. 188 Bilekahalli</t>
  </si>
  <si>
    <t>NANJUNDAIAH MURTHY SRINIVAS</t>
  </si>
  <si>
    <t>188-18-000007</t>
  </si>
  <si>
    <t>Potholes filling in Kodichikkanahalli and surrounding area in ward No. 188 Bilekahalli</t>
  </si>
  <si>
    <t>Srinivas Murthy N</t>
  </si>
  <si>
    <t>188-18-000009</t>
  </si>
  <si>
    <t>Potholes filling in Bilekahalli and surrounding area in ward No. 188 Bilekahalli</t>
  </si>
  <si>
    <t>188-16-000005</t>
  </si>
  <si>
    <t>Asphalting to 5th main, Anugraha layout, 2nd stage in ward No. 188 Bilekahalli</t>
  </si>
  <si>
    <t>V CHANDRASHEKAR</t>
  </si>
  <si>
    <t>188-16-000002</t>
  </si>
  <si>
    <t>Desilting of drains in Anugraha layout, Bilekahalli village, Tayappa garden, Vijaya Bank layout, Sarvabhowma Nagar, Kodichikkanahalli in ward No.188 Bilekahalli</t>
  </si>
  <si>
    <t>November</t>
  </si>
  <si>
    <t>188-18-000026</t>
  </si>
  <si>
    <t xml:space="preserve">Providing flooring and chainlink fencing to Indira canteen surrounding and garden in ward no.188 Billekahalli </t>
  </si>
  <si>
    <t>Indira Canteen</t>
  </si>
  <si>
    <t>December</t>
  </si>
  <si>
    <t>188-17-000028</t>
  </si>
  <si>
    <t>Providing CC pavement and RCC drains to roads in Someshwara layout in ward No. 188 Bilekahalli</t>
  </si>
  <si>
    <t>D MADAIAH</t>
  </si>
  <si>
    <t>188-17-000025</t>
  </si>
  <si>
    <t>Providing RCC drains to main and cross roads of Dollars colony, BTM Layout 2nd stage in ward No. 188 Bilekahalli</t>
  </si>
  <si>
    <t>Sri.B.K.Suresh</t>
  </si>
  <si>
    <t>January</t>
  </si>
  <si>
    <t>Lakes</t>
  </si>
  <si>
    <t>M/s ESS ESS Builders</t>
  </si>
  <si>
    <t>March</t>
  </si>
  <si>
    <t>188-17-000021</t>
  </si>
  <si>
    <t>Reconstruction of damaged culverts and Improvements to side drains in ward No. 188 Bilekahalli (Emergency Grant)</t>
  </si>
  <si>
    <t>188-17-000023</t>
  </si>
  <si>
    <t>Desilting of existing drains and removing of debries, burm cutting in ward No. 188 Bilekahalli</t>
  </si>
  <si>
    <t>188-17-000016</t>
  </si>
  <si>
    <t>Providing improvements and asphalting to roads from Bannerghatta road to BSNL office in ward no 188 Bilekahalli</t>
  </si>
  <si>
    <t>P3174</t>
  </si>
  <si>
    <t>Special development works in ward No. 188, 141, 169, 82, 58,  (Rs.300 lakhs each 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</si>
</sst>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workbookViewId="0">
      <pane ySplit="1" topLeftCell="A2" activePane="bottomLeft" state="frozen"/>
      <selection activeCell="H1" sqref="H1"/>
      <selection pane="bottomLeft" activeCell="A2" sqref="A2:XFD5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469</v>
      </c>
      <c r="B2" s="9" t="s">
        <v>33</v>
      </c>
      <c r="C2" s="10">
        <v>43200</v>
      </c>
      <c r="D2" s="11">
        <v>188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"000091"</f>
        <v>000091</v>
      </c>
      <c r="M2" s="10">
        <v>42427</v>
      </c>
      <c r="N2" s="11" t="str">
        <f>"000035"</f>
        <v>000035</v>
      </c>
      <c r="O2" s="10">
        <v>42577</v>
      </c>
      <c r="P2" s="11" t="str">
        <f>"000154"</f>
        <v>000154</v>
      </c>
      <c r="Q2" s="10">
        <v>42580</v>
      </c>
      <c r="R2" s="11">
        <v>16</v>
      </c>
      <c r="S2" s="11" t="str">
        <f>"011030"</f>
        <v>011030</v>
      </c>
      <c r="T2" s="10">
        <v>43187</v>
      </c>
      <c r="U2" s="14">
        <v>14.792949999999999</v>
      </c>
      <c r="V2" s="14">
        <v>1.9573100000000001</v>
      </c>
      <c r="W2" s="14">
        <v>12.83564</v>
      </c>
      <c r="X2" s="11">
        <v>9</v>
      </c>
      <c r="Y2" s="10">
        <v>43200</v>
      </c>
      <c r="Z2" s="11">
        <v>9886403151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0.14792949999999999</v>
      </c>
      <c r="AG2" s="11" t="s">
        <v>45</v>
      </c>
    </row>
    <row r="3" spans="1:33" x14ac:dyDescent="0.2">
      <c r="A3" s="8">
        <v>470</v>
      </c>
      <c r="B3" s="9" t="s">
        <v>33</v>
      </c>
      <c r="C3" s="10">
        <v>43200</v>
      </c>
      <c r="D3" s="11">
        <v>188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"000021"</f>
        <v>000021</v>
      </c>
      <c r="M3" s="10">
        <v>43054</v>
      </c>
      <c r="N3" s="11" t="str">
        <f>"000028"</f>
        <v>000028</v>
      </c>
      <c r="O3" s="10">
        <v>43166</v>
      </c>
      <c r="P3" s="11" t="str">
        <f>"000057"</f>
        <v>000057</v>
      </c>
      <c r="Q3" s="10">
        <v>43167</v>
      </c>
      <c r="R3" s="11">
        <v>16</v>
      </c>
      <c r="S3" s="11" t="str">
        <f>"000289"</f>
        <v>000289</v>
      </c>
      <c r="T3" s="10">
        <v>43195</v>
      </c>
      <c r="U3" s="14">
        <v>7.0306199999999999</v>
      </c>
      <c r="V3" s="14">
        <v>0.60694000000000004</v>
      </c>
      <c r="W3" s="14">
        <v>6.4236800000000001</v>
      </c>
      <c r="X3" s="11">
        <v>12</v>
      </c>
      <c r="Y3" s="10">
        <v>43200</v>
      </c>
      <c r="Z3" s="11">
        <v>9972039440</v>
      </c>
      <c r="AA3" s="12" t="s">
        <v>48</v>
      </c>
      <c r="AB3" s="11" t="s">
        <v>49</v>
      </c>
      <c r="AC3" s="12" t="s">
        <v>50</v>
      </c>
      <c r="AD3" s="11" t="s">
        <v>43</v>
      </c>
      <c r="AE3" s="12" t="s">
        <v>44</v>
      </c>
      <c r="AF3" s="14">
        <v>7.0306199999999999E-2</v>
      </c>
      <c r="AG3" s="11" t="s">
        <v>45</v>
      </c>
    </row>
    <row r="4" spans="1:33" x14ac:dyDescent="0.2">
      <c r="A4" s="8">
        <v>1698</v>
      </c>
      <c r="B4" s="9" t="s">
        <v>51</v>
      </c>
      <c r="C4" s="10">
        <v>43252</v>
      </c>
      <c r="D4" s="11">
        <v>188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52</v>
      </c>
      <c r="J4" s="12" t="s">
        <v>53</v>
      </c>
      <c r="K4" s="13" t="s">
        <v>39</v>
      </c>
      <c r="L4" s="11" t="str">
        <f>"000020"</f>
        <v>000020</v>
      </c>
      <c r="M4" s="10">
        <v>42765</v>
      </c>
      <c r="N4" s="11" t="str">
        <f>"000202"</f>
        <v>000202</v>
      </c>
      <c r="O4" s="10">
        <v>42817</v>
      </c>
      <c r="P4" s="11" t="str">
        <f>"000264"</f>
        <v>000264</v>
      </c>
      <c r="Q4" s="10">
        <v>42817</v>
      </c>
      <c r="R4" s="11">
        <v>17</v>
      </c>
      <c r="S4" s="11" t="str">
        <f>"001883"</f>
        <v>001883</v>
      </c>
      <c r="T4" s="10">
        <v>43245</v>
      </c>
      <c r="U4" s="14">
        <v>19.911269999999998</v>
      </c>
      <c r="V4" s="14">
        <v>2.9670000000000001</v>
      </c>
      <c r="W4" s="14">
        <v>16.944269999999999</v>
      </c>
      <c r="X4" s="11">
        <v>65</v>
      </c>
      <c r="Y4" s="10">
        <v>43252</v>
      </c>
      <c r="Z4" s="11">
        <v>9448510301</v>
      </c>
      <c r="AA4" s="12" t="s">
        <v>54</v>
      </c>
      <c r="AB4" s="11" t="s">
        <v>55</v>
      </c>
      <c r="AC4" s="12" t="s">
        <v>56</v>
      </c>
      <c r="AD4" s="11" t="s">
        <v>57</v>
      </c>
      <c r="AE4" s="12" t="s">
        <v>58</v>
      </c>
      <c r="AF4" s="14">
        <v>0.19911269999999998</v>
      </c>
      <c r="AG4" s="11" t="s">
        <v>45</v>
      </c>
    </row>
    <row r="5" spans="1:33" x14ac:dyDescent="0.2">
      <c r="A5" s="8">
        <v>1925</v>
      </c>
      <c r="B5" s="9" t="s">
        <v>51</v>
      </c>
      <c r="C5" s="10">
        <v>43257</v>
      </c>
      <c r="D5" s="11">
        <v>188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59</v>
      </c>
      <c r="J5" s="12" t="s">
        <v>60</v>
      </c>
      <c r="K5" s="13" t="s">
        <v>61</v>
      </c>
      <c r="L5" s="11" t="str">
        <f>"000039"</f>
        <v>000039</v>
      </c>
      <c r="M5" s="10">
        <v>42826</v>
      </c>
      <c r="N5" s="11" t="str">
        <f>"000048"</f>
        <v>000048</v>
      </c>
      <c r="O5" s="10">
        <v>42632</v>
      </c>
      <c r="P5" s="11" t="str">
        <f>"000280"</f>
        <v>000280</v>
      </c>
      <c r="Q5" s="10">
        <v>42632</v>
      </c>
      <c r="R5" s="11">
        <v>16</v>
      </c>
      <c r="S5" s="11" t="str">
        <f>"002195"</f>
        <v>002195</v>
      </c>
      <c r="T5" s="10">
        <v>43255</v>
      </c>
      <c r="U5" s="14">
        <v>9.7961399999999994</v>
      </c>
      <c r="V5" s="14">
        <v>1.3079700000000001</v>
      </c>
      <c r="W5" s="14">
        <v>8.4881700000000002</v>
      </c>
      <c r="X5" s="11">
        <v>71</v>
      </c>
      <c r="Y5" s="10">
        <v>43257</v>
      </c>
      <c r="Z5" s="11">
        <v>9845652653</v>
      </c>
      <c r="AA5" s="12" t="s">
        <v>62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9.796139999999999E-2</v>
      </c>
      <c r="AG5" s="11" t="s">
        <v>45</v>
      </c>
    </row>
    <row r="6" spans="1:33" x14ac:dyDescent="0.2">
      <c r="A6" s="8">
        <v>1926</v>
      </c>
      <c r="B6" s="9" t="s">
        <v>51</v>
      </c>
      <c r="C6" s="10">
        <v>43257</v>
      </c>
      <c r="D6" s="11">
        <v>188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63</v>
      </c>
      <c r="J6" s="12" t="s">
        <v>64</v>
      </c>
      <c r="K6" s="13" t="s">
        <v>65</v>
      </c>
      <c r="L6" s="11" t="str">
        <f>"000013"</f>
        <v>000013</v>
      </c>
      <c r="M6" s="10">
        <v>43091</v>
      </c>
      <c r="N6" s="11" t="str">
        <f>"000005"</f>
        <v>000005</v>
      </c>
      <c r="O6" s="10">
        <v>43215</v>
      </c>
      <c r="P6" s="11" t="str">
        <f>"000005"</f>
        <v>000005</v>
      </c>
      <c r="Q6" s="10">
        <v>43216</v>
      </c>
      <c r="R6" s="11">
        <v>17</v>
      </c>
      <c r="S6" s="11" t="str">
        <f>"002011"</f>
        <v>002011</v>
      </c>
      <c r="T6" s="10">
        <v>43248</v>
      </c>
      <c r="U6" s="14">
        <v>1.3764000000000001</v>
      </c>
      <c r="V6" s="14">
        <v>9.8140000000000005E-2</v>
      </c>
      <c r="W6" s="14">
        <v>1.27826</v>
      </c>
      <c r="X6" s="11">
        <v>72</v>
      </c>
      <c r="Y6" s="10">
        <v>43257</v>
      </c>
      <c r="Z6" s="11">
        <v>9972039440</v>
      </c>
      <c r="AA6" s="12" t="s">
        <v>48</v>
      </c>
      <c r="AB6" s="11" t="s">
        <v>66</v>
      </c>
      <c r="AC6" s="12" t="s">
        <v>67</v>
      </c>
      <c r="AD6" s="11" t="s">
        <v>68</v>
      </c>
      <c r="AE6" s="12" t="s">
        <v>69</v>
      </c>
      <c r="AF6" s="14">
        <v>1.3764E-2</v>
      </c>
      <c r="AG6" s="11" t="s">
        <v>70</v>
      </c>
    </row>
    <row r="7" spans="1:33" x14ac:dyDescent="0.2">
      <c r="A7" s="8">
        <v>2380</v>
      </c>
      <c r="B7" s="9" t="s">
        <v>51</v>
      </c>
      <c r="C7" s="10">
        <v>43269</v>
      </c>
      <c r="D7" s="11">
        <v>188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71</v>
      </c>
      <c r="J7" s="12" t="s">
        <v>72</v>
      </c>
      <c r="K7" s="13" t="s">
        <v>65</v>
      </c>
      <c r="L7" s="11" t="str">
        <f>"000104"</f>
        <v>000104</v>
      </c>
      <c r="M7" s="10">
        <v>41661</v>
      </c>
      <c r="N7" s="11" t="str">
        <f>"0038"</f>
        <v>0038</v>
      </c>
      <c r="O7" s="10">
        <v>1</v>
      </c>
      <c r="P7" s="11" t="str">
        <f>"000222"</f>
        <v>000222</v>
      </c>
      <c r="Q7" s="10">
        <v>41942</v>
      </c>
      <c r="R7" s="11">
        <v>14</v>
      </c>
      <c r="S7" s="11" t="str">
        <f>"002511"</f>
        <v>002511</v>
      </c>
      <c r="T7" s="10">
        <v>43264</v>
      </c>
      <c r="U7" s="14">
        <v>11.422829999999999</v>
      </c>
      <c r="V7" s="14">
        <v>1.4043000000000001</v>
      </c>
      <c r="W7" s="14">
        <v>10.01853</v>
      </c>
      <c r="X7" s="11">
        <v>88</v>
      </c>
      <c r="Y7" s="10">
        <v>43269</v>
      </c>
      <c r="Z7" s="11">
        <v>9886011198</v>
      </c>
      <c r="AA7" s="12" t="s">
        <v>73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0.11422829999999999</v>
      </c>
      <c r="AG7" s="11" t="s">
        <v>45</v>
      </c>
    </row>
    <row r="8" spans="1:33" x14ac:dyDescent="0.2">
      <c r="A8" s="8">
        <v>2428</v>
      </c>
      <c r="B8" s="9" t="s">
        <v>51</v>
      </c>
      <c r="C8" s="10">
        <v>43271</v>
      </c>
      <c r="D8" s="11">
        <v>188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74</v>
      </c>
      <c r="J8" s="12" t="s">
        <v>75</v>
      </c>
      <c r="K8" s="13" t="s">
        <v>76</v>
      </c>
      <c r="L8" s="11" t="str">
        <f>"000021"</f>
        <v>000021</v>
      </c>
      <c r="M8" s="10">
        <v>43106</v>
      </c>
      <c r="N8" s="11" t="str">
        <f>"000006"</f>
        <v>000006</v>
      </c>
      <c r="O8" s="10">
        <v>43220</v>
      </c>
      <c r="P8" s="11" t="str">
        <f>"000006"</f>
        <v>000006</v>
      </c>
      <c r="Q8" s="10">
        <v>43220</v>
      </c>
      <c r="R8" s="11">
        <v>18</v>
      </c>
      <c r="S8" s="11" t="str">
        <f>"002706"</f>
        <v>002706</v>
      </c>
      <c r="T8" s="10">
        <v>43270</v>
      </c>
      <c r="U8" s="14">
        <v>129.63552999999999</v>
      </c>
      <c r="V8" s="14">
        <v>11.280530000000001</v>
      </c>
      <c r="W8" s="14">
        <v>118.355</v>
      </c>
      <c r="X8" s="11">
        <v>97</v>
      </c>
      <c r="Y8" s="10">
        <v>43271</v>
      </c>
      <c r="Z8" s="11">
        <v>9999999999</v>
      </c>
      <c r="AA8" s="12" t="s">
        <v>77</v>
      </c>
      <c r="AB8" s="11" t="s">
        <v>78</v>
      </c>
      <c r="AC8" s="12" t="s">
        <v>79</v>
      </c>
      <c r="AD8" s="11" t="s">
        <v>68</v>
      </c>
      <c r="AE8" s="12" t="s">
        <v>69</v>
      </c>
      <c r="AF8" s="14">
        <v>1.2963552999999999</v>
      </c>
      <c r="AG8" s="11" t="s">
        <v>70</v>
      </c>
    </row>
    <row r="9" spans="1:33" x14ac:dyDescent="0.2">
      <c r="A9" s="8">
        <v>3626</v>
      </c>
      <c r="B9" s="9" t="s">
        <v>80</v>
      </c>
      <c r="C9" s="10">
        <v>43299</v>
      </c>
      <c r="D9" s="11">
        <v>188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81</v>
      </c>
      <c r="J9" s="12" t="s">
        <v>82</v>
      </c>
      <c r="K9" s="13" t="s">
        <v>39</v>
      </c>
      <c r="L9" s="11" t="str">
        <f>"000002"</f>
        <v>000002</v>
      </c>
      <c r="M9" s="10">
        <v>43191</v>
      </c>
      <c r="N9" s="11" t="str">
        <f>"000021"</f>
        <v>000021</v>
      </c>
      <c r="O9" s="10">
        <v>43333</v>
      </c>
      <c r="P9" s="11" t="str">
        <f>"000026"</f>
        <v>000026</v>
      </c>
      <c r="Q9" s="10">
        <v>43333</v>
      </c>
      <c r="R9" s="11">
        <v>16</v>
      </c>
      <c r="S9" s="11" t="str">
        <f>""</f>
        <v/>
      </c>
      <c r="T9" s="10"/>
      <c r="U9" s="14">
        <v>8.6826600000000003</v>
      </c>
      <c r="V9" s="14">
        <v>1.1629</v>
      </c>
      <c r="W9" s="14">
        <v>7.5197599999999998</v>
      </c>
      <c r="X9" s="11">
        <v>127</v>
      </c>
      <c r="Y9" s="10">
        <v>43299</v>
      </c>
      <c r="Z9" s="11">
        <v>9448510301</v>
      </c>
      <c r="AA9" s="12" t="s">
        <v>83</v>
      </c>
      <c r="AB9" s="11" t="s">
        <v>84</v>
      </c>
      <c r="AC9" s="12" t="s">
        <v>85</v>
      </c>
      <c r="AD9" s="11" t="s">
        <v>57</v>
      </c>
      <c r="AE9" s="12" t="s">
        <v>58</v>
      </c>
      <c r="AF9" s="14">
        <v>8.6826600000000004E-2</v>
      </c>
      <c r="AG9" s="11" t="s">
        <v>86</v>
      </c>
    </row>
    <row r="10" spans="1:33" x14ac:dyDescent="0.2">
      <c r="A10" s="8">
        <v>3627</v>
      </c>
      <c r="B10" s="9" t="s">
        <v>80</v>
      </c>
      <c r="C10" s="10">
        <v>43299</v>
      </c>
      <c r="D10" s="11">
        <v>188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87</v>
      </c>
      <c r="J10" s="12" t="s">
        <v>88</v>
      </c>
      <c r="K10" s="13" t="s">
        <v>65</v>
      </c>
      <c r="L10" s="11" t="str">
        <f>"0"</f>
        <v>0</v>
      </c>
      <c r="M10" s="10">
        <v>147</v>
      </c>
      <c r="N10" s="11" t="str">
        <f>"000024"</f>
        <v>000024</v>
      </c>
      <c r="O10" s="10">
        <v>42914</v>
      </c>
      <c r="P10" s="11" t="str">
        <f>"000045"</f>
        <v>000045</v>
      </c>
      <c r="Q10" s="10">
        <v>42914</v>
      </c>
      <c r="R10" s="11">
        <v>17</v>
      </c>
      <c r="S10" s="11" t="str">
        <f>"003768"</f>
        <v>003768</v>
      </c>
      <c r="T10" s="10">
        <v>43294</v>
      </c>
      <c r="U10" s="14">
        <v>15.45368</v>
      </c>
      <c r="V10" s="14">
        <v>1.9548700000000001</v>
      </c>
      <c r="W10" s="14">
        <v>13.498810000000001</v>
      </c>
      <c r="X10" s="11">
        <v>129</v>
      </c>
      <c r="Y10" s="10">
        <v>43299</v>
      </c>
      <c r="Z10" s="11">
        <v>9972233039</v>
      </c>
      <c r="AA10" s="12" t="s">
        <v>89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0.1545368</v>
      </c>
      <c r="AG10" s="11" t="s">
        <v>45</v>
      </c>
    </row>
    <row r="11" spans="1:33" x14ac:dyDescent="0.2">
      <c r="A11" s="8">
        <v>3799</v>
      </c>
      <c r="B11" s="9" t="s">
        <v>80</v>
      </c>
      <c r="C11" s="10">
        <v>43301</v>
      </c>
      <c r="D11" s="11">
        <v>188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81</v>
      </c>
      <c r="J11" s="12" t="s">
        <v>82</v>
      </c>
      <c r="K11" s="13" t="s">
        <v>39</v>
      </c>
      <c r="L11" s="11" t="str">
        <f>"000002"</f>
        <v>000002</v>
      </c>
      <c r="M11" s="10">
        <v>43191</v>
      </c>
      <c r="N11" s="11" t="str">
        <f>"000021"</f>
        <v>000021</v>
      </c>
      <c r="O11" s="10">
        <v>43333</v>
      </c>
      <c r="P11" s="11" t="str">
        <f>"000026"</f>
        <v>000026</v>
      </c>
      <c r="Q11" s="10">
        <v>43333</v>
      </c>
      <c r="R11" s="11">
        <v>16</v>
      </c>
      <c r="S11" s="11" t="str">
        <f>""</f>
        <v/>
      </c>
      <c r="T11" s="10"/>
      <c r="U11" s="14">
        <v>2.8018200000000002</v>
      </c>
      <c r="V11" s="14">
        <v>0.38</v>
      </c>
      <c r="W11" s="14">
        <v>2.4218199999999999</v>
      </c>
      <c r="X11" s="11">
        <v>134</v>
      </c>
      <c r="Y11" s="10">
        <v>43301</v>
      </c>
      <c r="Z11" s="11">
        <v>9448510301</v>
      </c>
      <c r="AA11" s="12" t="s">
        <v>83</v>
      </c>
      <c r="AB11" s="11" t="s">
        <v>84</v>
      </c>
      <c r="AC11" s="12" t="s">
        <v>85</v>
      </c>
      <c r="AD11" s="11" t="s">
        <v>57</v>
      </c>
      <c r="AE11" s="12" t="s">
        <v>58</v>
      </c>
      <c r="AF11" s="14">
        <v>2.8018200000000004E-2</v>
      </c>
      <c r="AG11" s="11" t="s">
        <v>86</v>
      </c>
    </row>
    <row r="12" spans="1:33" x14ac:dyDescent="0.2">
      <c r="A12" s="8">
        <v>3872</v>
      </c>
      <c r="B12" s="9" t="s">
        <v>80</v>
      </c>
      <c r="C12" s="10">
        <v>43304</v>
      </c>
      <c r="D12" s="11">
        <v>188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90</v>
      </c>
      <c r="J12" s="12" t="s">
        <v>91</v>
      </c>
      <c r="K12" s="13" t="s">
        <v>39</v>
      </c>
      <c r="L12" s="11" t="str">
        <f>"000009"</f>
        <v>000009</v>
      </c>
      <c r="M12" s="10">
        <v>43120</v>
      </c>
      <c r="N12" s="11" t="str">
        <f>"000017"</f>
        <v>000017</v>
      </c>
      <c r="O12" s="10">
        <v>43316</v>
      </c>
      <c r="P12" s="11" t="str">
        <f>"000099"</f>
        <v>000099</v>
      </c>
      <c r="Q12" s="10">
        <v>43316</v>
      </c>
      <c r="R12" s="11">
        <v>18</v>
      </c>
      <c r="S12" s="11" t="str">
        <f>""</f>
        <v/>
      </c>
      <c r="T12" s="10"/>
      <c r="U12" s="14">
        <v>256.01</v>
      </c>
      <c r="V12" s="14">
        <v>6.6150000000000002</v>
      </c>
      <c r="W12" s="14">
        <v>249.39500000000001</v>
      </c>
      <c r="X12" s="11">
        <v>136</v>
      </c>
      <c r="Y12" s="10">
        <v>43304</v>
      </c>
      <c r="Z12" s="11">
        <v>9448907777</v>
      </c>
      <c r="AA12" s="12" t="s">
        <v>92</v>
      </c>
      <c r="AB12" s="11" t="s">
        <v>93</v>
      </c>
      <c r="AC12" s="12" t="s">
        <v>94</v>
      </c>
      <c r="AD12" s="11" t="s">
        <v>95</v>
      </c>
      <c r="AE12" s="12" t="s">
        <v>96</v>
      </c>
      <c r="AF12" s="14">
        <v>2.5600999999999998</v>
      </c>
      <c r="AG12" s="11" t="s">
        <v>70</v>
      </c>
    </row>
    <row r="13" spans="1:33" x14ac:dyDescent="0.2">
      <c r="A13" s="8">
        <v>3873</v>
      </c>
      <c r="B13" s="9" t="s">
        <v>80</v>
      </c>
      <c r="C13" s="10">
        <v>43304</v>
      </c>
      <c r="D13" s="11">
        <v>188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90</v>
      </c>
      <c r="J13" s="12" t="s">
        <v>91</v>
      </c>
      <c r="K13" s="13" t="s">
        <v>39</v>
      </c>
      <c r="L13" s="11" t="str">
        <f>"000009"</f>
        <v>000009</v>
      </c>
      <c r="M13" s="10">
        <v>43120</v>
      </c>
      <c r="N13" s="11" t="str">
        <f>"000017"</f>
        <v>000017</v>
      </c>
      <c r="O13" s="10">
        <v>43316</v>
      </c>
      <c r="P13" s="11" t="str">
        <f>"000099"</f>
        <v>000099</v>
      </c>
      <c r="Q13" s="10">
        <v>43316</v>
      </c>
      <c r="R13" s="11">
        <v>18</v>
      </c>
      <c r="S13" s="11" t="str">
        <f>""</f>
        <v/>
      </c>
      <c r="T13" s="10"/>
      <c r="U13" s="14">
        <v>157.01</v>
      </c>
      <c r="V13" s="14">
        <v>4.0190000000000001</v>
      </c>
      <c r="W13" s="14">
        <v>152.99100000000001</v>
      </c>
      <c r="X13" s="11">
        <v>136</v>
      </c>
      <c r="Y13" s="10">
        <v>43304</v>
      </c>
      <c r="Z13" s="11">
        <v>9448907777</v>
      </c>
      <c r="AA13" s="12" t="s">
        <v>92</v>
      </c>
      <c r="AB13" s="11" t="s">
        <v>93</v>
      </c>
      <c r="AC13" s="12" t="s">
        <v>94</v>
      </c>
      <c r="AD13" s="11" t="s">
        <v>95</v>
      </c>
      <c r="AE13" s="12" t="s">
        <v>96</v>
      </c>
      <c r="AF13" s="14">
        <v>1.5700999999999998</v>
      </c>
      <c r="AG13" s="11" t="s">
        <v>70</v>
      </c>
    </row>
    <row r="14" spans="1:33" x14ac:dyDescent="0.2">
      <c r="A14" s="8">
        <v>3874</v>
      </c>
      <c r="B14" s="9" t="s">
        <v>80</v>
      </c>
      <c r="C14" s="10">
        <v>43304</v>
      </c>
      <c r="D14" s="11">
        <v>188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97</v>
      </c>
      <c r="J14" s="12" t="s">
        <v>98</v>
      </c>
      <c r="K14" s="13" t="s">
        <v>99</v>
      </c>
      <c r="L14" s="11" t="str">
        <f>"000014"</f>
        <v>000014</v>
      </c>
      <c r="M14" s="10">
        <v>43091</v>
      </c>
      <c r="N14" s="11" t="str">
        <f>"000018"</f>
        <v>000018</v>
      </c>
      <c r="O14" s="10">
        <v>43277</v>
      </c>
      <c r="P14" s="11" t="str">
        <f>"000018"</f>
        <v>000018</v>
      </c>
      <c r="Q14" s="10">
        <v>43277</v>
      </c>
      <c r="R14" s="11">
        <v>17</v>
      </c>
      <c r="S14" s="11" t="str">
        <f>"004169"</f>
        <v>004169</v>
      </c>
      <c r="T14" s="10">
        <v>43302</v>
      </c>
      <c r="U14" s="14">
        <v>9.2195</v>
      </c>
      <c r="V14" s="14">
        <v>0.65734000000000004</v>
      </c>
      <c r="W14" s="14">
        <v>8.5621600000000004</v>
      </c>
      <c r="X14" s="11">
        <v>137</v>
      </c>
      <c r="Y14" s="10">
        <v>43304</v>
      </c>
      <c r="Z14" s="11">
        <v>9972039440</v>
      </c>
      <c r="AA14" s="12" t="s">
        <v>48</v>
      </c>
      <c r="AB14" s="11" t="s">
        <v>66</v>
      </c>
      <c r="AC14" s="12" t="s">
        <v>67</v>
      </c>
      <c r="AD14" s="11" t="s">
        <v>68</v>
      </c>
      <c r="AE14" s="12" t="s">
        <v>69</v>
      </c>
      <c r="AF14" s="14">
        <v>9.2194999999999999E-2</v>
      </c>
      <c r="AG14" s="11" t="s">
        <v>70</v>
      </c>
    </row>
    <row r="15" spans="1:33" x14ac:dyDescent="0.2">
      <c r="A15" s="8">
        <v>3953</v>
      </c>
      <c r="B15" s="9" t="s">
        <v>80</v>
      </c>
      <c r="C15" s="10">
        <v>43305</v>
      </c>
      <c r="D15" s="11">
        <v>188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71</v>
      </c>
      <c r="J15" s="12" t="s">
        <v>72</v>
      </c>
      <c r="K15" s="13" t="s">
        <v>65</v>
      </c>
      <c r="L15" s="11" t="str">
        <f>"000104"</f>
        <v>000104</v>
      </c>
      <c r="M15" s="10">
        <v>41661</v>
      </c>
      <c r="N15" s="11" t="str">
        <f>"0006"</f>
        <v>0006</v>
      </c>
      <c r="O15" s="10">
        <v>1</v>
      </c>
      <c r="P15" s="11" t="str">
        <f>"000046"</f>
        <v>000046</v>
      </c>
      <c r="Q15" s="10">
        <v>41788</v>
      </c>
      <c r="R15" s="11">
        <v>14</v>
      </c>
      <c r="S15" s="11" t="str">
        <f>"003444"</f>
        <v>003444</v>
      </c>
      <c r="T15" s="10">
        <v>43290</v>
      </c>
      <c r="U15" s="14">
        <v>3.5282300000000002</v>
      </c>
      <c r="V15" s="14">
        <v>0.39268999999999998</v>
      </c>
      <c r="W15" s="14">
        <v>3.1355400000000002</v>
      </c>
      <c r="X15" s="11">
        <v>138</v>
      </c>
      <c r="Y15" s="10">
        <v>43305</v>
      </c>
      <c r="Z15" s="11">
        <v>9886011198</v>
      </c>
      <c r="AA15" s="12" t="s">
        <v>73</v>
      </c>
      <c r="AB15" s="11" t="s">
        <v>41</v>
      </c>
      <c r="AC15" s="12" t="s">
        <v>42</v>
      </c>
      <c r="AD15" s="11" t="s">
        <v>43</v>
      </c>
      <c r="AE15" s="12" t="s">
        <v>44</v>
      </c>
      <c r="AF15" s="14">
        <v>3.5282300000000003E-2</v>
      </c>
      <c r="AG15" s="11" t="s">
        <v>45</v>
      </c>
    </row>
    <row r="16" spans="1:33" x14ac:dyDescent="0.2">
      <c r="A16" s="8">
        <v>3954</v>
      </c>
      <c r="B16" s="9" t="s">
        <v>80</v>
      </c>
      <c r="C16" s="10">
        <v>43305</v>
      </c>
      <c r="D16" s="11">
        <v>188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100</v>
      </c>
      <c r="J16" s="12" t="s">
        <v>101</v>
      </c>
      <c r="K16" s="13" t="s">
        <v>39</v>
      </c>
      <c r="L16" s="11" t="str">
        <f>"0062"</f>
        <v>0062</v>
      </c>
      <c r="M16" s="10">
        <v>1</v>
      </c>
      <c r="N16" s="11" t="str">
        <f>"0035"</f>
        <v>0035</v>
      </c>
      <c r="O16" s="10">
        <v>1</v>
      </c>
      <c r="P16" s="11" t="str">
        <f>"000206"</f>
        <v>000206</v>
      </c>
      <c r="Q16" s="10">
        <v>41938</v>
      </c>
      <c r="R16" s="11">
        <v>13</v>
      </c>
      <c r="S16" s="11" t="str">
        <f>"003445"</f>
        <v>003445</v>
      </c>
      <c r="T16" s="10">
        <v>43290</v>
      </c>
      <c r="U16" s="14">
        <v>4.81778</v>
      </c>
      <c r="V16" s="14">
        <v>0.66200999999999999</v>
      </c>
      <c r="W16" s="14">
        <v>4.1557700000000004</v>
      </c>
      <c r="X16" s="11">
        <v>138</v>
      </c>
      <c r="Y16" s="10">
        <v>43305</v>
      </c>
      <c r="Z16" s="11">
        <v>9999999999</v>
      </c>
      <c r="AA16" s="12" t="s">
        <v>102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4.81778E-2</v>
      </c>
      <c r="AG16" s="11" t="s">
        <v>45</v>
      </c>
    </row>
    <row r="17" spans="1:33" x14ac:dyDescent="0.2">
      <c r="A17" s="8">
        <v>4610</v>
      </c>
      <c r="B17" s="9" t="s">
        <v>103</v>
      </c>
      <c r="C17" s="10">
        <v>43318</v>
      </c>
      <c r="D17" s="11">
        <v>188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104</v>
      </c>
      <c r="J17" s="12" t="s">
        <v>105</v>
      </c>
      <c r="K17" s="13" t="s">
        <v>106</v>
      </c>
      <c r="L17" s="11" t="str">
        <f>"000088"</f>
        <v>000088</v>
      </c>
      <c r="M17" s="10">
        <v>42434</v>
      </c>
      <c r="N17" s="11" t="str">
        <f>"000004"</f>
        <v>000004</v>
      </c>
      <c r="O17" s="10">
        <v>42979</v>
      </c>
      <c r="P17" s="11" t="str">
        <f>"000006"</f>
        <v>000006</v>
      </c>
      <c r="Q17" s="10">
        <v>42983</v>
      </c>
      <c r="R17" s="11">
        <v>16</v>
      </c>
      <c r="S17" s="11" t="str">
        <f>"004690"</f>
        <v>004690</v>
      </c>
      <c r="T17" s="10">
        <v>43313</v>
      </c>
      <c r="U17" s="14">
        <v>24.417870000000001</v>
      </c>
      <c r="V17" s="14">
        <v>2.4380799999999998</v>
      </c>
      <c r="W17" s="14">
        <v>21.979790000000001</v>
      </c>
      <c r="X17" s="11">
        <v>160</v>
      </c>
      <c r="Y17" s="10">
        <v>43318</v>
      </c>
      <c r="Z17" s="11">
        <v>9845652652</v>
      </c>
      <c r="AA17" s="12" t="s">
        <v>107</v>
      </c>
      <c r="AB17" s="11" t="s">
        <v>108</v>
      </c>
      <c r="AC17" s="12" t="s">
        <v>109</v>
      </c>
      <c r="AD17" s="11" t="s">
        <v>43</v>
      </c>
      <c r="AE17" s="12" t="s">
        <v>44</v>
      </c>
      <c r="AF17" s="14">
        <v>0.2441787</v>
      </c>
      <c r="AG17" s="11" t="s">
        <v>45</v>
      </c>
    </row>
    <row r="18" spans="1:33" x14ac:dyDescent="0.2">
      <c r="A18" s="8">
        <v>4905</v>
      </c>
      <c r="B18" s="9" t="s">
        <v>103</v>
      </c>
      <c r="C18" s="10">
        <v>43326</v>
      </c>
      <c r="D18" s="11">
        <v>188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110</v>
      </c>
      <c r="J18" s="12" t="s">
        <v>111</v>
      </c>
      <c r="K18" s="13" t="s">
        <v>39</v>
      </c>
      <c r="L18" s="11" t="str">
        <f>"000111"</f>
        <v>000111</v>
      </c>
      <c r="M18" s="10">
        <v>42786</v>
      </c>
      <c r="N18" s="11" t="str">
        <f>"000129"</f>
        <v>000129</v>
      </c>
      <c r="O18" s="10">
        <v>42826</v>
      </c>
      <c r="P18" s="11" t="str">
        <f>"000395"</f>
        <v>000395</v>
      </c>
      <c r="Q18" s="10">
        <v>42825</v>
      </c>
      <c r="R18" s="11">
        <v>17</v>
      </c>
      <c r="S18" s="11" t="str">
        <f>"005076"</f>
        <v>005076</v>
      </c>
      <c r="T18" s="10">
        <v>43322</v>
      </c>
      <c r="U18" s="14">
        <v>19.690249999999999</v>
      </c>
      <c r="V18" s="14">
        <v>2.4413800000000001</v>
      </c>
      <c r="W18" s="14">
        <v>17.24887</v>
      </c>
      <c r="X18" s="11">
        <v>170</v>
      </c>
      <c r="Y18" s="10">
        <v>43326</v>
      </c>
      <c r="Z18" s="11">
        <v>9611337750</v>
      </c>
      <c r="AA18" s="12" t="s">
        <v>112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v>0.19690249999999998</v>
      </c>
      <c r="AG18" s="11" t="s">
        <v>45</v>
      </c>
    </row>
    <row r="19" spans="1:33" x14ac:dyDescent="0.2">
      <c r="A19" s="8">
        <v>5509</v>
      </c>
      <c r="B19" s="9" t="s">
        <v>113</v>
      </c>
      <c r="C19" s="10">
        <v>43357</v>
      </c>
      <c r="D19" s="11">
        <v>188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114</v>
      </c>
      <c r="J19" s="12" t="s">
        <v>115</v>
      </c>
      <c r="K19" s="13" t="s">
        <v>76</v>
      </c>
      <c r="L19" s="11" t="str">
        <f>"000072"</f>
        <v>000072</v>
      </c>
      <c r="M19" s="10">
        <v>42811</v>
      </c>
      <c r="N19" s="11" t="str">
        <f>"000027"</f>
        <v>000027</v>
      </c>
      <c r="O19" s="10">
        <v>42916</v>
      </c>
      <c r="P19" s="11" t="str">
        <f>"000027"</f>
        <v>000027</v>
      </c>
      <c r="Q19" s="10">
        <v>42916</v>
      </c>
      <c r="R19" s="11">
        <v>17</v>
      </c>
      <c r="S19" s="11" t="str">
        <f>"005648"</f>
        <v>005648</v>
      </c>
      <c r="T19" s="10">
        <v>43349</v>
      </c>
      <c r="U19" s="14">
        <v>49.536299999999997</v>
      </c>
      <c r="V19" s="14">
        <v>6.08819</v>
      </c>
      <c r="W19" s="14">
        <v>43.44811</v>
      </c>
      <c r="X19" s="11">
        <v>203</v>
      </c>
      <c r="Y19" s="10">
        <v>43357</v>
      </c>
      <c r="Z19" s="11">
        <v>9999999999</v>
      </c>
      <c r="AA19" s="12" t="s">
        <v>77</v>
      </c>
      <c r="AB19" s="11" t="s">
        <v>55</v>
      </c>
      <c r="AC19" s="12" t="s">
        <v>56</v>
      </c>
      <c r="AD19" s="11" t="s">
        <v>68</v>
      </c>
      <c r="AE19" s="12" t="s">
        <v>69</v>
      </c>
      <c r="AF19" s="14">
        <f t="shared" ref="AF19:AF52" si="0">U19/100</f>
        <v>0.495363</v>
      </c>
      <c r="AG19" s="11" t="s">
        <v>45</v>
      </c>
    </row>
    <row r="20" spans="1:33" x14ac:dyDescent="0.2">
      <c r="A20" s="8">
        <v>5556</v>
      </c>
      <c r="B20" s="9" t="s">
        <v>113</v>
      </c>
      <c r="C20" s="10">
        <v>43362</v>
      </c>
      <c r="D20" s="11">
        <v>188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116</v>
      </c>
      <c r="J20" s="12" t="s">
        <v>117</v>
      </c>
      <c r="K20" s="13" t="s">
        <v>39</v>
      </c>
      <c r="L20" s="11" t="str">
        <f>"000104"</f>
        <v>000104</v>
      </c>
      <c r="M20" s="10">
        <v>42786</v>
      </c>
      <c r="N20" s="11" t="str">
        <f>"000130"</f>
        <v>000130</v>
      </c>
      <c r="O20" s="10">
        <v>42821</v>
      </c>
      <c r="P20" s="11" t="str">
        <f>"000423"</f>
        <v>000423</v>
      </c>
      <c r="Q20" s="10">
        <v>42825</v>
      </c>
      <c r="R20" s="11">
        <v>17</v>
      </c>
      <c r="S20" s="11" t="str">
        <f>"005633"</f>
        <v>005633</v>
      </c>
      <c r="T20" s="10">
        <v>43349</v>
      </c>
      <c r="U20" s="14">
        <v>20.304020000000001</v>
      </c>
      <c r="V20" s="14">
        <v>2.5119099999999999</v>
      </c>
      <c r="W20" s="14">
        <v>17.792110000000001</v>
      </c>
      <c r="X20" s="11">
        <v>207</v>
      </c>
      <c r="Y20" s="10">
        <v>43362</v>
      </c>
      <c r="Z20" s="11">
        <v>9845652652</v>
      </c>
      <c r="AA20" s="12" t="s">
        <v>118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f t="shared" si="0"/>
        <v>0.2030402</v>
      </c>
      <c r="AG20" s="11" t="s">
        <v>45</v>
      </c>
    </row>
    <row r="21" spans="1:33" x14ac:dyDescent="0.2">
      <c r="A21" s="8">
        <v>5763</v>
      </c>
      <c r="B21" s="9" t="s">
        <v>113</v>
      </c>
      <c r="C21" s="10">
        <v>43370</v>
      </c>
      <c r="D21" s="11">
        <v>188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119</v>
      </c>
      <c r="J21" s="12" t="s">
        <v>120</v>
      </c>
      <c r="K21" s="13" t="s">
        <v>39</v>
      </c>
      <c r="L21" s="11" t="str">
        <f>"000084"</f>
        <v>000084</v>
      </c>
      <c r="M21" s="10">
        <v>42786</v>
      </c>
      <c r="N21" s="11" t="str">
        <f>"000131"</f>
        <v>000131</v>
      </c>
      <c r="O21" s="10">
        <v>42821</v>
      </c>
      <c r="P21" s="11" t="str">
        <f>"000422"</f>
        <v>000422</v>
      </c>
      <c r="Q21" s="10">
        <v>42825</v>
      </c>
      <c r="R21" s="11">
        <v>17</v>
      </c>
      <c r="S21" s="11" t="str">
        <f>"005785"</f>
        <v>005785</v>
      </c>
      <c r="T21" s="10">
        <v>43360</v>
      </c>
      <c r="U21" s="14">
        <v>36.199719999999999</v>
      </c>
      <c r="V21" s="14">
        <v>4.4730800000000004</v>
      </c>
      <c r="W21" s="14">
        <v>31.72664</v>
      </c>
      <c r="X21" s="11">
        <v>216</v>
      </c>
      <c r="Y21" s="10">
        <v>43370</v>
      </c>
      <c r="Z21" s="11">
        <v>9845652652</v>
      </c>
      <c r="AA21" s="12" t="s">
        <v>118</v>
      </c>
      <c r="AB21" s="11" t="s">
        <v>41</v>
      </c>
      <c r="AC21" s="12" t="s">
        <v>42</v>
      </c>
      <c r="AD21" s="11" t="s">
        <v>43</v>
      </c>
      <c r="AE21" s="12" t="s">
        <v>44</v>
      </c>
      <c r="AF21" s="14">
        <f t="shared" si="0"/>
        <v>0.36199720000000002</v>
      </c>
      <c r="AG21" s="11" t="s">
        <v>45</v>
      </c>
    </row>
    <row r="22" spans="1:33" x14ac:dyDescent="0.2">
      <c r="A22" s="8">
        <v>6297</v>
      </c>
      <c r="B22" s="9" t="s">
        <v>121</v>
      </c>
      <c r="C22" s="10">
        <v>43385</v>
      </c>
      <c r="D22" s="11">
        <v>188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122</v>
      </c>
      <c r="J22" s="12" t="s">
        <v>123</v>
      </c>
      <c r="K22" s="13" t="s">
        <v>61</v>
      </c>
      <c r="L22" s="11" t="str">
        <f>"000109"</f>
        <v>000109</v>
      </c>
      <c r="M22" s="10">
        <v>43129</v>
      </c>
      <c r="N22" s="11" t="str">
        <f>"000034"</f>
        <v>000034</v>
      </c>
      <c r="O22" s="10">
        <v>43248</v>
      </c>
      <c r="P22" s="11" t="str">
        <f>"000054"</f>
        <v>000054</v>
      </c>
      <c r="Q22" s="10">
        <v>43248</v>
      </c>
      <c r="R22" s="11">
        <v>17</v>
      </c>
      <c r="S22" s="11" t="str">
        <f>"006188"</f>
        <v>006188</v>
      </c>
      <c r="T22" s="10">
        <v>43377</v>
      </c>
      <c r="U22" s="14">
        <v>6.6626399999999997</v>
      </c>
      <c r="V22" s="14">
        <v>0.13991000000000001</v>
      </c>
      <c r="W22" s="14">
        <v>6.5227300000000001</v>
      </c>
      <c r="X22" s="11">
        <v>227</v>
      </c>
      <c r="Y22" s="10">
        <v>43385</v>
      </c>
      <c r="Z22" s="11">
        <v>9845036062</v>
      </c>
      <c r="AA22" s="12" t="s">
        <v>124</v>
      </c>
      <c r="AB22" s="11" t="s">
        <v>125</v>
      </c>
      <c r="AC22" s="12" t="s">
        <v>126</v>
      </c>
      <c r="AD22" s="11" t="s">
        <v>43</v>
      </c>
      <c r="AE22" s="12" t="s">
        <v>44</v>
      </c>
      <c r="AF22" s="14">
        <f t="shared" si="0"/>
        <v>6.6626400000000002E-2</v>
      </c>
      <c r="AG22" s="11" t="s">
        <v>70</v>
      </c>
    </row>
    <row r="23" spans="1:33" x14ac:dyDescent="0.2">
      <c r="A23" s="8">
        <v>6298</v>
      </c>
      <c r="B23" s="9" t="s">
        <v>121</v>
      </c>
      <c r="C23" s="10">
        <v>43385</v>
      </c>
      <c r="D23" s="11">
        <v>188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127</v>
      </c>
      <c r="J23" s="12" t="s">
        <v>128</v>
      </c>
      <c r="K23" s="13" t="s">
        <v>61</v>
      </c>
      <c r="L23" s="11" t="str">
        <f>"00179a"</f>
        <v>00179a</v>
      </c>
      <c r="M23" s="10">
        <v>42828</v>
      </c>
      <c r="N23" s="11" t="str">
        <f>"000054"</f>
        <v>000054</v>
      </c>
      <c r="O23" s="10">
        <v>42916</v>
      </c>
      <c r="P23" s="11" t="str">
        <f>"000061"</f>
        <v>000061</v>
      </c>
      <c r="Q23" s="10">
        <v>42916</v>
      </c>
      <c r="R23" s="11">
        <v>17</v>
      </c>
      <c r="S23" s="11" t="str">
        <f>"004772"</f>
        <v>004772</v>
      </c>
      <c r="T23" s="10">
        <v>42961</v>
      </c>
      <c r="U23" s="14">
        <v>8.51</v>
      </c>
      <c r="V23" s="14">
        <v>0.17871000000000001</v>
      </c>
      <c r="W23" s="14">
        <v>8.3312899999999992</v>
      </c>
      <c r="X23" s="11">
        <v>227</v>
      </c>
      <c r="Y23" s="10">
        <v>43385</v>
      </c>
      <c r="Z23" s="11">
        <v>9845036062</v>
      </c>
      <c r="AA23" s="12" t="s">
        <v>129</v>
      </c>
      <c r="AB23" s="11" t="s">
        <v>125</v>
      </c>
      <c r="AC23" s="12" t="s">
        <v>126</v>
      </c>
      <c r="AD23" s="11" t="s">
        <v>43</v>
      </c>
      <c r="AE23" s="12" t="s">
        <v>44</v>
      </c>
      <c r="AF23" s="14">
        <f t="shared" si="0"/>
        <v>8.5099999999999995E-2</v>
      </c>
      <c r="AG23" s="11" t="s">
        <v>45</v>
      </c>
    </row>
    <row r="24" spans="1:33" x14ac:dyDescent="0.2">
      <c r="A24" s="8">
        <v>6299</v>
      </c>
      <c r="B24" s="9" t="s">
        <v>121</v>
      </c>
      <c r="C24" s="10">
        <v>43385</v>
      </c>
      <c r="D24" s="11">
        <v>188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122</v>
      </c>
      <c r="J24" s="12" t="s">
        <v>123</v>
      </c>
      <c r="K24" s="13" t="s">
        <v>61</v>
      </c>
      <c r="L24" s="11" t="str">
        <f>"000109"</f>
        <v>000109</v>
      </c>
      <c r="M24" s="10">
        <v>43129</v>
      </c>
      <c r="N24" s="11" t="str">
        <f>"000034"</f>
        <v>000034</v>
      </c>
      <c r="O24" s="10">
        <v>43248</v>
      </c>
      <c r="P24" s="11" t="str">
        <f>"000054"</f>
        <v>000054</v>
      </c>
      <c r="Q24" s="10">
        <v>43248</v>
      </c>
      <c r="R24" s="11">
        <v>17</v>
      </c>
      <c r="S24" s="11" t="str">
        <f>"006188"</f>
        <v>006188</v>
      </c>
      <c r="T24" s="10">
        <v>43377</v>
      </c>
      <c r="U24" s="14">
        <v>34.806780000000003</v>
      </c>
      <c r="V24" s="14">
        <v>2.6646899999999998</v>
      </c>
      <c r="W24" s="14">
        <v>32.142090000000003</v>
      </c>
      <c r="X24" s="11">
        <v>227</v>
      </c>
      <c r="Y24" s="10">
        <v>43385</v>
      </c>
      <c r="Z24" s="11">
        <v>9986072837</v>
      </c>
      <c r="AA24" s="12" t="s">
        <v>130</v>
      </c>
      <c r="AB24" s="11" t="s">
        <v>125</v>
      </c>
      <c r="AC24" s="12" t="s">
        <v>126</v>
      </c>
      <c r="AD24" s="11" t="s">
        <v>43</v>
      </c>
      <c r="AE24" s="12" t="s">
        <v>44</v>
      </c>
      <c r="AF24" s="14">
        <f t="shared" si="0"/>
        <v>0.34806780000000004</v>
      </c>
      <c r="AG24" s="11" t="s">
        <v>70</v>
      </c>
    </row>
    <row r="25" spans="1:33" x14ac:dyDescent="0.2">
      <c r="A25" s="8">
        <v>6300</v>
      </c>
      <c r="B25" s="9" t="s">
        <v>121</v>
      </c>
      <c r="C25" s="10">
        <v>43385</v>
      </c>
      <c r="D25" s="11">
        <v>188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131</v>
      </c>
      <c r="J25" s="12" t="s">
        <v>132</v>
      </c>
      <c r="K25" s="13" t="s">
        <v>61</v>
      </c>
      <c r="L25" s="11" t="str">
        <f>"000103"</f>
        <v>000103</v>
      </c>
      <c r="M25" s="10">
        <v>43129</v>
      </c>
      <c r="N25" s="11" t="str">
        <f>"000031"</f>
        <v>000031</v>
      </c>
      <c r="O25" s="10">
        <v>43244</v>
      </c>
      <c r="P25" s="11" t="str">
        <f>"000051"</f>
        <v>000051</v>
      </c>
      <c r="Q25" s="10">
        <v>43244</v>
      </c>
      <c r="R25" s="11">
        <v>17</v>
      </c>
      <c r="S25" s="11" t="str">
        <f>"006249"</f>
        <v>006249</v>
      </c>
      <c r="T25" s="10">
        <v>43380</v>
      </c>
      <c r="U25" s="14">
        <v>33.50311</v>
      </c>
      <c r="V25" s="14">
        <v>2.8913000000000002</v>
      </c>
      <c r="W25" s="14">
        <v>30.611809999999998</v>
      </c>
      <c r="X25" s="11">
        <v>228</v>
      </c>
      <c r="Y25" s="10">
        <v>43385</v>
      </c>
      <c r="Z25" s="11">
        <v>9986072837</v>
      </c>
      <c r="AA25" s="12" t="s">
        <v>130</v>
      </c>
      <c r="AB25" s="11" t="s">
        <v>125</v>
      </c>
      <c r="AC25" s="12" t="s">
        <v>126</v>
      </c>
      <c r="AD25" s="11" t="s">
        <v>43</v>
      </c>
      <c r="AE25" s="12" t="s">
        <v>44</v>
      </c>
      <c r="AF25" s="14">
        <f t="shared" si="0"/>
        <v>0.33503109999999997</v>
      </c>
      <c r="AG25" s="11" t="s">
        <v>70</v>
      </c>
    </row>
    <row r="26" spans="1:33" x14ac:dyDescent="0.2">
      <c r="A26" s="8">
        <v>6301</v>
      </c>
      <c r="B26" s="9" t="s">
        <v>121</v>
      </c>
      <c r="C26" s="10">
        <v>43385</v>
      </c>
      <c r="D26" s="11">
        <v>188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133</v>
      </c>
      <c r="J26" s="12" t="s">
        <v>134</v>
      </c>
      <c r="K26" s="13" t="s">
        <v>61</v>
      </c>
      <c r="L26" s="11" t="str">
        <f>"000108"</f>
        <v>000108</v>
      </c>
      <c r="M26" s="10">
        <v>43129</v>
      </c>
      <c r="N26" s="11" t="str">
        <f>"000032"</f>
        <v>000032</v>
      </c>
      <c r="O26" s="10">
        <v>43244</v>
      </c>
      <c r="P26" s="11" t="str">
        <f>"000053"</f>
        <v>000053</v>
      </c>
      <c r="Q26" s="10">
        <v>43244</v>
      </c>
      <c r="R26" s="11">
        <v>17</v>
      </c>
      <c r="S26" s="11" t="str">
        <f>"006250"</f>
        <v>006250</v>
      </c>
      <c r="T26" s="10">
        <v>43380</v>
      </c>
      <c r="U26" s="14">
        <v>39.710909999999998</v>
      </c>
      <c r="V26" s="14">
        <v>3.3277600000000001</v>
      </c>
      <c r="W26" s="14">
        <v>36.383150000000001</v>
      </c>
      <c r="X26" s="11">
        <v>228</v>
      </c>
      <c r="Y26" s="10">
        <v>43385</v>
      </c>
      <c r="Z26" s="11">
        <v>9986072837</v>
      </c>
      <c r="AA26" s="12" t="s">
        <v>130</v>
      </c>
      <c r="AB26" s="11" t="s">
        <v>125</v>
      </c>
      <c r="AC26" s="12" t="s">
        <v>126</v>
      </c>
      <c r="AD26" s="11" t="s">
        <v>43</v>
      </c>
      <c r="AE26" s="12" t="s">
        <v>44</v>
      </c>
      <c r="AF26" s="14">
        <f t="shared" si="0"/>
        <v>0.39710909999999999</v>
      </c>
      <c r="AG26" s="11" t="s">
        <v>70</v>
      </c>
    </row>
    <row r="27" spans="1:33" x14ac:dyDescent="0.2">
      <c r="A27" s="8">
        <v>6302</v>
      </c>
      <c r="B27" s="9" t="s">
        <v>121</v>
      </c>
      <c r="C27" s="10">
        <v>43385</v>
      </c>
      <c r="D27" s="11">
        <v>188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135</v>
      </c>
      <c r="J27" s="12" t="s">
        <v>136</v>
      </c>
      <c r="K27" s="13" t="s">
        <v>61</v>
      </c>
      <c r="L27" s="11" t="str">
        <f>"000094"</f>
        <v>000094</v>
      </c>
      <c r="M27" s="10">
        <v>43129</v>
      </c>
      <c r="N27" s="11" t="str">
        <f>"000033"</f>
        <v>000033</v>
      </c>
      <c r="O27" s="10">
        <v>43244</v>
      </c>
      <c r="P27" s="11" t="str">
        <f>"000052"</f>
        <v>000052</v>
      </c>
      <c r="Q27" s="10">
        <v>43244</v>
      </c>
      <c r="R27" s="11">
        <v>17</v>
      </c>
      <c r="S27" s="11" t="str">
        <f>"006251"</f>
        <v>006251</v>
      </c>
      <c r="T27" s="10">
        <v>43380</v>
      </c>
      <c r="U27" s="14">
        <v>17.199280000000002</v>
      </c>
      <c r="V27" s="14">
        <v>1.4813000000000001</v>
      </c>
      <c r="W27" s="14">
        <v>15.717980000000001</v>
      </c>
      <c r="X27" s="11">
        <v>228</v>
      </c>
      <c r="Y27" s="10">
        <v>43385</v>
      </c>
      <c r="Z27" s="11">
        <v>9986072837</v>
      </c>
      <c r="AA27" s="12" t="s">
        <v>130</v>
      </c>
      <c r="AB27" s="11" t="s">
        <v>125</v>
      </c>
      <c r="AC27" s="12" t="s">
        <v>126</v>
      </c>
      <c r="AD27" s="11" t="s">
        <v>43</v>
      </c>
      <c r="AE27" s="12" t="s">
        <v>44</v>
      </c>
      <c r="AF27" s="14">
        <f t="shared" si="0"/>
        <v>0.17199280000000003</v>
      </c>
      <c r="AG27" s="11" t="s">
        <v>70</v>
      </c>
    </row>
    <row r="28" spans="1:33" x14ac:dyDescent="0.2">
      <c r="A28" s="8">
        <v>6303</v>
      </c>
      <c r="B28" s="9" t="s">
        <v>121</v>
      </c>
      <c r="C28" s="10">
        <v>43385</v>
      </c>
      <c r="D28" s="11">
        <v>188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137</v>
      </c>
      <c r="J28" s="12" t="s">
        <v>138</v>
      </c>
      <c r="K28" s="13" t="s">
        <v>76</v>
      </c>
      <c r="L28" s="11" t="str">
        <f>"000045"</f>
        <v>000045</v>
      </c>
      <c r="M28" s="10">
        <v>42755</v>
      </c>
      <c r="N28" s="11" t="str">
        <f>"000009"</f>
        <v>000009</v>
      </c>
      <c r="O28" s="10">
        <v>42991</v>
      </c>
      <c r="P28" s="11" t="str">
        <f>"000008"</f>
        <v>000008</v>
      </c>
      <c r="Q28" s="10">
        <v>42991</v>
      </c>
      <c r="R28" s="11">
        <v>17</v>
      </c>
      <c r="S28" s="11" t="str">
        <f>"006174"</f>
        <v>006174</v>
      </c>
      <c r="T28" s="10">
        <v>43377</v>
      </c>
      <c r="U28" s="14">
        <v>24.763500000000001</v>
      </c>
      <c r="V28" s="14">
        <v>2.6887500000000002</v>
      </c>
      <c r="W28" s="14">
        <v>22.074750000000002</v>
      </c>
      <c r="X28" s="11">
        <v>229</v>
      </c>
      <c r="Y28" s="10">
        <v>43385</v>
      </c>
      <c r="Z28" s="11">
        <v>9999999999</v>
      </c>
      <c r="AA28" s="12" t="s">
        <v>77</v>
      </c>
      <c r="AB28" s="11" t="s">
        <v>139</v>
      </c>
      <c r="AC28" s="12" t="s">
        <v>140</v>
      </c>
      <c r="AD28" s="11" t="s">
        <v>68</v>
      </c>
      <c r="AE28" s="12" t="s">
        <v>69</v>
      </c>
      <c r="AF28" s="14">
        <f t="shared" si="0"/>
        <v>0.24763499999999999</v>
      </c>
      <c r="AG28" s="11" t="s">
        <v>45</v>
      </c>
    </row>
    <row r="29" spans="1:33" x14ac:dyDescent="0.2">
      <c r="A29" s="8">
        <v>6304</v>
      </c>
      <c r="B29" s="9" t="s">
        <v>121</v>
      </c>
      <c r="C29" s="10">
        <v>43385</v>
      </c>
      <c r="D29" s="11">
        <v>188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122</v>
      </c>
      <c r="J29" s="12" t="s">
        <v>123</v>
      </c>
      <c r="K29" s="13" t="s">
        <v>61</v>
      </c>
      <c r="L29" s="11" t="str">
        <f>"000109"</f>
        <v>000109</v>
      </c>
      <c r="M29" s="10">
        <v>43129</v>
      </c>
      <c r="N29" s="11" t="str">
        <f>"000034"</f>
        <v>000034</v>
      </c>
      <c r="O29" s="10">
        <v>43248</v>
      </c>
      <c r="P29" s="11" t="str">
        <f>"000054"</f>
        <v>000054</v>
      </c>
      <c r="Q29" s="10">
        <v>43248</v>
      </c>
      <c r="R29" s="11">
        <v>17</v>
      </c>
      <c r="S29" s="11" t="str">
        <f>"006188"</f>
        <v>006188</v>
      </c>
      <c r="T29" s="10">
        <v>43377</v>
      </c>
      <c r="U29" s="14">
        <v>6.6626399999999997</v>
      </c>
      <c r="V29" s="14">
        <v>0.13991000000000001</v>
      </c>
      <c r="W29" s="14">
        <v>6.5227300000000001</v>
      </c>
      <c r="X29" s="11">
        <v>227</v>
      </c>
      <c r="Y29" s="10">
        <v>43385</v>
      </c>
      <c r="Z29" s="11">
        <v>9845036062</v>
      </c>
      <c r="AA29" s="12" t="s">
        <v>124</v>
      </c>
      <c r="AB29" s="11" t="s">
        <v>125</v>
      </c>
      <c r="AC29" s="12" t="s">
        <v>126</v>
      </c>
      <c r="AD29" s="11" t="s">
        <v>43</v>
      </c>
      <c r="AE29" s="12" t="s">
        <v>44</v>
      </c>
      <c r="AF29" s="14">
        <f t="shared" si="0"/>
        <v>6.6626400000000002E-2</v>
      </c>
      <c r="AG29" s="11" t="s">
        <v>70</v>
      </c>
    </row>
    <row r="30" spans="1:33" x14ac:dyDescent="0.2">
      <c r="A30" s="8">
        <v>6305</v>
      </c>
      <c r="B30" s="9" t="s">
        <v>121</v>
      </c>
      <c r="C30" s="10">
        <v>43385</v>
      </c>
      <c r="D30" s="11">
        <v>188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127</v>
      </c>
      <c r="J30" s="12" t="s">
        <v>128</v>
      </c>
      <c r="K30" s="13" t="s">
        <v>61</v>
      </c>
      <c r="L30" s="11" t="str">
        <f>"00179a"</f>
        <v>00179a</v>
      </c>
      <c r="M30" s="10">
        <v>42828</v>
      </c>
      <c r="N30" s="11" t="str">
        <f>"000054"</f>
        <v>000054</v>
      </c>
      <c r="O30" s="10">
        <v>42916</v>
      </c>
      <c r="P30" s="11" t="str">
        <f>"000061"</f>
        <v>000061</v>
      </c>
      <c r="Q30" s="10">
        <v>42916</v>
      </c>
      <c r="R30" s="11">
        <v>17</v>
      </c>
      <c r="S30" s="11" t="str">
        <f>"004772"</f>
        <v>004772</v>
      </c>
      <c r="T30" s="10">
        <v>42961</v>
      </c>
      <c r="U30" s="14">
        <v>8.51</v>
      </c>
      <c r="V30" s="14">
        <v>0.17871000000000001</v>
      </c>
      <c r="W30" s="14">
        <v>8.3312899999999992</v>
      </c>
      <c r="X30" s="11">
        <v>227</v>
      </c>
      <c r="Y30" s="10">
        <v>43385</v>
      </c>
      <c r="Z30" s="11">
        <v>9845036062</v>
      </c>
      <c r="AA30" s="12" t="s">
        <v>129</v>
      </c>
      <c r="AB30" s="11" t="s">
        <v>125</v>
      </c>
      <c r="AC30" s="12" t="s">
        <v>126</v>
      </c>
      <c r="AD30" s="11" t="s">
        <v>43</v>
      </c>
      <c r="AE30" s="12" t="s">
        <v>44</v>
      </c>
      <c r="AF30" s="14">
        <f t="shared" si="0"/>
        <v>8.5099999999999995E-2</v>
      </c>
      <c r="AG30" s="11" t="s">
        <v>45</v>
      </c>
    </row>
    <row r="31" spans="1:33" x14ac:dyDescent="0.2">
      <c r="A31" s="8">
        <v>6306</v>
      </c>
      <c r="B31" s="9" t="s">
        <v>121</v>
      </c>
      <c r="C31" s="10">
        <v>43385</v>
      </c>
      <c r="D31" s="11">
        <v>188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122</v>
      </c>
      <c r="J31" s="12" t="s">
        <v>123</v>
      </c>
      <c r="K31" s="13" t="s">
        <v>61</v>
      </c>
      <c r="L31" s="11" t="str">
        <f>"000109"</f>
        <v>000109</v>
      </c>
      <c r="M31" s="10">
        <v>43129</v>
      </c>
      <c r="N31" s="11" t="str">
        <f>"000034"</f>
        <v>000034</v>
      </c>
      <c r="O31" s="10">
        <v>43248</v>
      </c>
      <c r="P31" s="11" t="str">
        <f>"000054"</f>
        <v>000054</v>
      </c>
      <c r="Q31" s="10">
        <v>43248</v>
      </c>
      <c r="R31" s="11">
        <v>17</v>
      </c>
      <c r="S31" s="11" t="str">
        <f>"006188"</f>
        <v>006188</v>
      </c>
      <c r="T31" s="10">
        <v>43377</v>
      </c>
      <c r="U31" s="14">
        <v>34.806780000000003</v>
      </c>
      <c r="V31" s="14">
        <v>2.6646899999999998</v>
      </c>
      <c r="W31" s="14">
        <v>32.142090000000003</v>
      </c>
      <c r="X31" s="11">
        <v>227</v>
      </c>
      <c r="Y31" s="10">
        <v>43385</v>
      </c>
      <c r="Z31" s="11">
        <v>9986072837</v>
      </c>
      <c r="AA31" s="12" t="s">
        <v>130</v>
      </c>
      <c r="AB31" s="11" t="s">
        <v>125</v>
      </c>
      <c r="AC31" s="12" t="s">
        <v>126</v>
      </c>
      <c r="AD31" s="11" t="s">
        <v>43</v>
      </c>
      <c r="AE31" s="12" t="s">
        <v>44</v>
      </c>
      <c r="AF31" s="14">
        <f t="shared" si="0"/>
        <v>0.34806780000000004</v>
      </c>
      <c r="AG31" s="11" t="s">
        <v>70</v>
      </c>
    </row>
    <row r="32" spans="1:33" x14ac:dyDescent="0.2">
      <c r="A32" s="8">
        <v>6307</v>
      </c>
      <c r="B32" s="9" t="s">
        <v>121</v>
      </c>
      <c r="C32" s="10">
        <v>43385</v>
      </c>
      <c r="D32" s="11">
        <v>188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131</v>
      </c>
      <c r="J32" s="12" t="s">
        <v>132</v>
      </c>
      <c r="K32" s="13" t="s">
        <v>61</v>
      </c>
      <c r="L32" s="11" t="str">
        <f>"000103"</f>
        <v>000103</v>
      </c>
      <c r="M32" s="10">
        <v>43129</v>
      </c>
      <c r="N32" s="11" t="str">
        <f>"000031"</f>
        <v>000031</v>
      </c>
      <c r="O32" s="10">
        <v>43244</v>
      </c>
      <c r="P32" s="11" t="str">
        <f>"000051"</f>
        <v>000051</v>
      </c>
      <c r="Q32" s="10">
        <v>43244</v>
      </c>
      <c r="R32" s="11">
        <v>17</v>
      </c>
      <c r="S32" s="11" t="str">
        <f>"006249"</f>
        <v>006249</v>
      </c>
      <c r="T32" s="10">
        <v>43380</v>
      </c>
      <c r="U32" s="14">
        <v>33.50311</v>
      </c>
      <c r="V32" s="14">
        <v>2.8913000000000002</v>
      </c>
      <c r="W32" s="14">
        <v>30.611809999999998</v>
      </c>
      <c r="X32" s="11">
        <v>228</v>
      </c>
      <c r="Y32" s="10">
        <v>43385</v>
      </c>
      <c r="Z32" s="11">
        <v>9986072837</v>
      </c>
      <c r="AA32" s="12" t="s">
        <v>130</v>
      </c>
      <c r="AB32" s="11" t="s">
        <v>125</v>
      </c>
      <c r="AC32" s="12" t="s">
        <v>126</v>
      </c>
      <c r="AD32" s="11" t="s">
        <v>43</v>
      </c>
      <c r="AE32" s="12" t="s">
        <v>44</v>
      </c>
      <c r="AF32" s="14">
        <f t="shared" si="0"/>
        <v>0.33503109999999997</v>
      </c>
      <c r="AG32" s="11" t="s">
        <v>70</v>
      </c>
    </row>
    <row r="33" spans="1:33" x14ac:dyDescent="0.2">
      <c r="A33" s="8">
        <v>6308</v>
      </c>
      <c r="B33" s="9" t="s">
        <v>121</v>
      </c>
      <c r="C33" s="10">
        <v>43385</v>
      </c>
      <c r="D33" s="11">
        <v>188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133</v>
      </c>
      <c r="J33" s="12" t="s">
        <v>134</v>
      </c>
      <c r="K33" s="13" t="s">
        <v>61</v>
      </c>
      <c r="L33" s="11" t="str">
        <f>"000108"</f>
        <v>000108</v>
      </c>
      <c r="M33" s="10">
        <v>43129</v>
      </c>
      <c r="N33" s="11" t="str">
        <f>"000032"</f>
        <v>000032</v>
      </c>
      <c r="O33" s="10">
        <v>43244</v>
      </c>
      <c r="P33" s="11" t="str">
        <f>"000053"</f>
        <v>000053</v>
      </c>
      <c r="Q33" s="10">
        <v>43244</v>
      </c>
      <c r="R33" s="11">
        <v>17</v>
      </c>
      <c r="S33" s="11" t="str">
        <f>"006250"</f>
        <v>006250</v>
      </c>
      <c r="T33" s="10">
        <v>43380</v>
      </c>
      <c r="U33" s="14">
        <v>39.710909999999998</v>
      </c>
      <c r="V33" s="14">
        <v>3.3277600000000001</v>
      </c>
      <c r="W33" s="14">
        <v>36.383150000000001</v>
      </c>
      <c r="X33" s="11">
        <v>228</v>
      </c>
      <c r="Y33" s="10">
        <v>43385</v>
      </c>
      <c r="Z33" s="11">
        <v>9986072837</v>
      </c>
      <c r="AA33" s="12" t="s">
        <v>130</v>
      </c>
      <c r="AB33" s="11" t="s">
        <v>125</v>
      </c>
      <c r="AC33" s="12" t="s">
        <v>126</v>
      </c>
      <c r="AD33" s="11" t="s">
        <v>43</v>
      </c>
      <c r="AE33" s="12" t="s">
        <v>44</v>
      </c>
      <c r="AF33" s="14">
        <f t="shared" si="0"/>
        <v>0.39710909999999999</v>
      </c>
      <c r="AG33" s="11" t="s">
        <v>70</v>
      </c>
    </row>
    <row r="34" spans="1:33" x14ac:dyDescent="0.2">
      <c r="A34" s="8">
        <v>6309</v>
      </c>
      <c r="B34" s="9" t="s">
        <v>121</v>
      </c>
      <c r="C34" s="10">
        <v>43385</v>
      </c>
      <c r="D34" s="11">
        <v>188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135</v>
      </c>
      <c r="J34" s="12" t="s">
        <v>136</v>
      </c>
      <c r="K34" s="13" t="s">
        <v>61</v>
      </c>
      <c r="L34" s="11" t="str">
        <f>"000094"</f>
        <v>000094</v>
      </c>
      <c r="M34" s="10">
        <v>43129</v>
      </c>
      <c r="N34" s="11" t="str">
        <f>"000033"</f>
        <v>000033</v>
      </c>
      <c r="O34" s="10">
        <v>43244</v>
      </c>
      <c r="P34" s="11" t="str">
        <f>"000052"</f>
        <v>000052</v>
      </c>
      <c r="Q34" s="10">
        <v>43244</v>
      </c>
      <c r="R34" s="11">
        <v>17</v>
      </c>
      <c r="S34" s="11" t="str">
        <f>"006251"</f>
        <v>006251</v>
      </c>
      <c r="T34" s="10">
        <v>43380</v>
      </c>
      <c r="U34" s="14">
        <v>17.199280000000002</v>
      </c>
      <c r="V34" s="14">
        <v>1.4813000000000001</v>
      </c>
      <c r="W34" s="14">
        <v>15.717980000000001</v>
      </c>
      <c r="X34" s="11">
        <v>228</v>
      </c>
      <c r="Y34" s="10">
        <v>43385</v>
      </c>
      <c r="Z34" s="11">
        <v>9986072837</v>
      </c>
      <c r="AA34" s="12" t="s">
        <v>130</v>
      </c>
      <c r="AB34" s="11" t="s">
        <v>125</v>
      </c>
      <c r="AC34" s="12" t="s">
        <v>126</v>
      </c>
      <c r="AD34" s="11" t="s">
        <v>43</v>
      </c>
      <c r="AE34" s="12" t="s">
        <v>44</v>
      </c>
      <c r="AF34" s="14">
        <f t="shared" si="0"/>
        <v>0.17199280000000003</v>
      </c>
      <c r="AG34" s="11" t="s">
        <v>70</v>
      </c>
    </row>
    <row r="35" spans="1:33" x14ac:dyDescent="0.2">
      <c r="A35" s="8">
        <v>6310</v>
      </c>
      <c r="B35" s="9" t="s">
        <v>121</v>
      </c>
      <c r="C35" s="10">
        <v>43385</v>
      </c>
      <c r="D35" s="11">
        <v>188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137</v>
      </c>
      <c r="J35" s="12" t="s">
        <v>138</v>
      </c>
      <c r="K35" s="13" t="s">
        <v>76</v>
      </c>
      <c r="L35" s="11" t="str">
        <f>"000045"</f>
        <v>000045</v>
      </c>
      <c r="M35" s="10">
        <v>42755</v>
      </c>
      <c r="N35" s="11" t="str">
        <f>"000009"</f>
        <v>000009</v>
      </c>
      <c r="O35" s="10">
        <v>42991</v>
      </c>
      <c r="P35" s="11" t="str">
        <f>"000008"</f>
        <v>000008</v>
      </c>
      <c r="Q35" s="10">
        <v>42991</v>
      </c>
      <c r="R35" s="11">
        <v>17</v>
      </c>
      <c r="S35" s="11" t="str">
        <f>"006174"</f>
        <v>006174</v>
      </c>
      <c r="T35" s="10">
        <v>43377</v>
      </c>
      <c r="U35" s="14">
        <v>24.763500000000001</v>
      </c>
      <c r="V35" s="14">
        <v>2.6887500000000002</v>
      </c>
      <c r="W35" s="14">
        <v>22.074750000000002</v>
      </c>
      <c r="X35" s="11">
        <v>229</v>
      </c>
      <c r="Y35" s="10">
        <v>43385</v>
      </c>
      <c r="Z35" s="11">
        <v>9999999999</v>
      </c>
      <c r="AA35" s="12" t="s">
        <v>77</v>
      </c>
      <c r="AB35" s="11" t="s">
        <v>139</v>
      </c>
      <c r="AC35" s="12" t="s">
        <v>140</v>
      </c>
      <c r="AD35" s="11" t="s">
        <v>68</v>
      </c>
      <c r="AE35" s="12" t="s">
        <v>69</v>
      </c>
      <c r="AF35" s="14">
        <f t="shared" si="0"/>
        <v>0.24763499999999999</v>
      </c>
      <c r="AG35" s="11" t="s">
        <v>45</v>
      </c>
    </row>
    <row r="36" spans="1:33" x14ac:dyDescent="0.2">
      <c r="A36" s="8">
        <v>6311</v>
      </c>
      <c r="B36" s="9" t="s">
        <v>121</v>
      </c>
      <c r="C36" s="10">
        <v>43385</v>
      </c>
      <c r="D36" s="11">
        <v>188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90</v>
      </c>
      <c r="J36" s="12" t="s">
        <v>91</v>
      </c>
      <c r="K36" s="13" t="s">
        <v>141</v>
      </c>
      <c r="L36" s="11" t="str">
        <f>"000009"</f>
        <v>000009</v>
      </c>
      <c r="M36" s="10">
        <v>43120</v>
      </c>
      <c r="N36" s="11" t="str">
        <f>"000035"</f>
        <v>000035</v>
      </c>
      <c r="O36" s="10">
        <v>43390</v>
      </c>
      <c r="P36" s="11" t="str">
        <f>"000192"</f>
        <v>000192</v>
      </c>
      <c r="Q36" s="10">
        <v>43390</v>
      </c>
      <c r="R36" s="11">
        <v>18</v>
      </c>
      <c r="S36" s="11" t="str">
        <f>"007087"</f>
        <v>007087</v>
      </c>
      <c r="T36" s="10">
        <v>43400</v>
      </c>
      <c r="U36" s="14">
        <v>145.78</v>
      </c>
      <c r="V36" s="14">
        <v>3.85</v>
      </c>
      <c r="W36" s="14">
        <v>141.93</v>
      </c>
      <c r="X36" s="11">
        <v>232</v>
      </c>
      <c r="Y36" s="10">
        <v>43385</v>
      </c>
      <c r="Z36" s="11">
        <v>9448907777</v>
      </c>
      <c r="AA36" s="12" t="s">
        <v>92</v>
      </c>
      <c r="AB36" s="11" t="s">
        <v>93</v>
      </c>
      <c r="AC36" s="12" t="s">
        <v>94</v>
      </c>
      <c r="AD36" s="11" t="s">
        <v>95</v>
      </c>
      <c r="AE36" s="12" t="s">
        <v>96</v>
      </c>
      <c r="AF36" s="14">
        <f t="shared" si="0"/>
        <v>1.4578</v>
      </c>
      <c r="AG36" s="11" t="s">
        <v>70</v>
      </c>
    </row>
    <row r="37" spans="1:33" x14ac:dyDescent="0.2">
      <c r="A37" s="8">
        <v>6658</v>
      </c>
      <c r="B37" s="9" t="s">
        <v>121</v>
      </c>
      <c r="C37" s="10">
        <v>43389</v>
      </c>
      <c r="D37" s="11">
        <v>188</v>
      </c>
      <c r="E37" s="12" t="s">
        <v>34</v>
      </c>
      <c r="F37" s="12" t="s">
        <v>35</v>
      </c>
      <c r="G37" s="12" t="s">
        <v>36</v>
      </c>
      <c r="H37" s="12" t="s">
        <v>36</v>
      </c>
      <c r="I37" s="11" t="s">
        <v>142</v>
      </c>
      <c r="J37" s="12" t="s">
        <v>143</v>
      </c>
      <c r="K37" s="13" t="s">
        <v>141</v>
      </c>
      <c r="L37" s="11" t="str">
        <f>"000008"</f>
        <v>000008</v>
      </c>
      <c r="M37" s="10">
        <v>43120</v>
      </c>
      <c r="N37" s="11" t="str">
        <f>"000047"</f>
        <v>000047</v>
      </c>
      <c r="O37" s="10">
        <v>43449</v>
      </c>
      <c r="P37" s="11" t="str">
        <f>"000215"</f>
        <v>000215</v>
      </c>
      <c r="Q37" s="10">
        <v>43452</v>
      </c>
      <c r="R37" s="11">
        <v>18</v>
      </c>
      <c r="S37" s="11" t="str">
        <f>"008606"</f>
        <v>008606</v>
      </c>
      <c r="T37" s="10">
        <v>43470</v>
      </c>
      <c r="U37" s="14">
        <v>195.11</v>
      </c>
      <c r="V37" s="14">
        <v>5.6719999999999997</v>
      </c>
      <c r="W37" s="14">
        <v>189.43799999999999</v>
      </c>
      <c r="X37" s="11">
        <v>235</v>
      </c>
      <c r="Y37" s="10">
        <v>43389</v>
      </c>
      <c r="Z37" s="11">
        <v>9448907777</v>
      </c>
      <c r="AA37" s="12" t="s">
        <v>92</v>
      </c>
      <c r="AB37" s="11" t="s">
        <v>93</v>
      </c>
      <c r="AC37" s="12" t="s">
        <v>94</v>
      </c>
      <c r="AD37" s="11" t="s">
        <v>95</v>
      </c>
      <c r="AE37" s="12" t="s">
        <v>96</v>
      </c>
      <c r="AF37" s="14">
        <f t="shared" si="0"/>
        <v>1.9511000000000001</v>
      </c>
      <c r="AG37" s="11" t="s">
        <v>70</v>
      </c>
    </row>
    <row r="38" spans="1:33" x14ac:dyDescent="0.2">
      <c r="A38" s="8">
        <v>6866</v>
      </c>
      <c r="B38" s="9" t="s">
        <v>121</v>
      </c>
      <c r="C38" s="10">
        <v>43398</v>
      </c>
      <c r="D38" s="11">
        <v>188</v>
      </c>
      <c r="E38" s="12" t="s">
        <v>34</v>
      </c>
      <c r="F38" s="12" t="s">
        <v>35</v>
      </c>
      <c r="G38" s="12" t="s">
        <v>36</v>
      </c>
      <c r="H38" s="12" t="s">
        <v>36</v>
      </c>
      <c r="I38" s="11" t="s">
        <v>144</v>
      </c>
      <c r="J38" s="12" t="s">
        <v>145</v>
      </c>
      <c r="K38" s="13" t="s">
        <v>61</v>
      </c>
      <c r="L38" s="11" t="str">
        <f>"000232"</f>
        <v>000232</v>
      </c>
      <c r="M38" s="10">
        <v>43183</v>
      </c>
      <c r="N38" s="11" t="str">
        <f>"000029"</f>
        <v>000029</v>
      </c>
      <c r="O38" s="10">
        <v>43220</v>
      </c>
      <c r="P38" s="11" t="str">
        <f>"000042"</f>
        <v>000042</v>
      </c>
      <c r="Q38" s="10">
        <v>43220</v>
      </c>
      <c r="R38" s="11">
        <v>18</v>
      </c>
      <c r="S38" s="11" t="str">
        <f>"006901"</f>
        <v>006901</v>
      </c>
      <c r="T38" s="10">
        <v>43395</v>
      </c>
      <c r="U38" s="14">
        <v>9.9748300000000008</v>
      </c>
      <c r="V38" s="14">
        <v>0.86080999999999996</v>
      </c>
      <c r="W38" s="14">
        <v>9.11402</v>
      </c>
      <c r="X38" s="11">
        <v>248</v>
      </c>
      <c r="Y38" s="10">
        <v>43398</v>
      </c>
      <c r="Z38" s="11">
        <v>9999999999</v>
      </c>
      <c r="AA38" s="12" t="s">
        <v>146</v>
      </c>
      <c r="AB38" s="11" t="s">
        <v>41</v>
      </c>
      <c r="AC38" s="12" t="s">
        <v>42</v>
      </c>
      <c r="AD38" s="11" t="s">
        <v>43</v>
      </c>
      <c r="AE38" s="12" t="s">
        <v>44</v>
      </c>
      <c r="AF38" s="14">
        <f t="shared" si="0"/>
        <v>9.9748300000000012E-2</v>
      </c>
      <c r="AG38" s="11" t="s">
        <v>70</v>
      </c>
    </row>
    <row r="39" spans="1:33" x14ac:dyDescent="0.2">
      <c r="A39" s="8">
        <v>6867</v>
      </c>
      <c r="B39" s="9" t="s">
        <v>121</v>
      </c>
      <c r="C39" s="10">
        <v>43398</v>
      </c>
      <c r="D39" s="11">
        <v>188</v>
      </c>
      <c r="E39" s="12" t="s">
        <v>34</v>
      </c>
      <c r="F39" s="12" t="s">
        <v>35</v>
      </c>
      <c r="G39" s="12" t="s">
        <v>36</v>
      </c>
      <c r="H39" s="12" t="s">
        <v>36</v>
      </c>
      <c r="I39" s="11" t="s">
        <v>147</v>
      </c>
      <c r="J39" s="12" t="s">
        <v>148</v>
      </c>
      <c r="K39" s="13" t="s">
        <v>61</v>
      </c>
      <c r="L39" s="11" t="str">
        <f>"000005"</f>
        <v>000005</v>
      </c>
      <c r="M39" s="10">
        <v>43238</v>
      </c>
      <c r="N39" s="11" t="str">
        <f>"000035"</f>
        <v>000035</v>
      </c>
      <c r="O39" s="10">
        <v>43249</v>
      </c>
      <c r="P39" s="11" t="str">
        <f>"000074"</f>
        <v>000074</v>
      </c>
      <c r="Q39" s="10">
        <v>43258</v>
      </c>
      <c r="R39" s="11">
        <v>18</v>
      </c>
      <c r="S39" s="11" t="str">
        <f>"006902"</f>
        <v>006902</v>
      </c>
      <c r="T39" s="10">
        <v>43395</v>
      </c>
      <c r="U39" s="14">
        <v>9.9887700000000006</v>
      </c>
      <c r="V39" s="14">
        <v>3.2117499999999999</v>
      </c>
      <c r="W39" s="14">
        <v>6.7770200000000003</v>
      </c>
      <c r="X39" s="11">
        <v>248</v>
      </c>
      <c r="Y39" s="10">
        <v>43398</v>
      </c>
      <c r="Z39" s="11">
        <v>9972039440</v>
      </c>
      <c r="AA39" s="12" t="s">
        <v>149</v>
      </c>
      <c r="AB39" s="11" t="s">
        <v>41</v>
      </c>
      <c r="AC39" s="12" t="s">
        <v>42</v>
      </c>
      <c r="AD39" s="11" t="s">
        <v>43</v>
      </c>
      <c r="AE39" s="12" t="s">
        <v>44</v>
      </c>
      <c r="AF39" s="14">
        <f t="shared" si="0"/>
        <v>9.988770000000001E-2</v>
      </c>
      <c r="AG39" s="11" t="s">
        <v>86</v>
      </c>
    </row>
    <row r="40" spans="1:33" x14ac:dyDescent="0.2">
      <c r="A40" s="8">
        <v>6868</v>
      </c>
      <c r="B40" s="9" t="s">
        <v>121</v>
      </c>
      <c r="C40" s="10">
        <v>43398</v>
      </c>
      <c r="D40" s="11">
        <v>188</v>
      </c>
      <c r="E40" s="12" t="s">
        <v>34</v>
      </c>
      <c r="F40" s="12" t="s">
        <v>35</v>
      </c>
      <c r="G40" s="12" t="s">
        <v>36</v>
      </c>
      <c r="H40" s="12" t="s">
        <v>36</v>
      </c>
      <c r="I40" s="11" t="s">
        <v>150</v>
      </c>
      <c r="J40" s="12" t="s">
        <v>151</v>
      </c>
      <c r="K40" s="13" t="s">
        <v>61</v>
      </c>
      <c r="L40" s="11" t="str">
        <f>"000230"</f>
        <v>000230</v>
      </c>
      <c r="M40" s="10">
        <v>43183</v>
      </c>
      <c r="N40" s="11" t="str">
        <f>"000030"</f>
        <v>000030</v>
      </c>
      <c r="O40" s="10">
        <v>43220</v>
      </c>
      <c r="P40" s="11" t="str">
        <f>"000043"</f>
        <v>000043</v>
      </c>
      <c r="Q40" s="10">
        <v>43220</v>
      </c>
      <c r="R40" s="11">
        <v>18</v>
      </c>
      <c r="S40" s="11" t="str">
        <f>"006903"</f>
        <v>006903</v>
      </c>
      <c r="T40" s="10">
        <v>43395</v>
      </c>
      <c r="U40" s="14">
        <v>9.9692900000000009</v>
      </c>
      <c r="V40" s="14">
        <v>0.86033000000000004</v>
      </c>
      <c r="W40" s="14">
        <v>9.1089599999999997</v>
      </c>
      <c r="X40" s="11">
        <v>248</v>
      </c>
      <c r="Y40" s="10">
        <v>43398</v>
      </c>
      <c r="Z40" s="11">
        <v>9999999999</v>
      </c>
      <c r="AA40" s="12" t="s">
        <v>146</v>
      </c>
      <c r="AB40" s="11" t="s">
        <v>41</v>
      </c>
      <c r="AC40" s="12" t="s">
        <v>42</v>
      </c>
      <c r="AD40" s="11" t="s">
        <v>43</v>
      </c>
      <c r="AE40" s="12" t="s">
        <v>44</v>
      </c>
      <c r="AF40" s="14">
        <f t="shared" si="0"/>
        <v>9.9692900000000015E-2</v>
      </c>
      <c r="AG40" s="11" t="s">
        <v>70</v>
      </c>
    </row>
    <row r="41" spans="1:33" x14ac:dyDescent="0.2">
      <c r="A41" s="8">
        <v>6942</v>
      </c>
      <c r="B41" s="9" t="s">
        <v>121</v>
      </c>
      <c r="C41" s="10">
        <v>43402</v>
      </c>
      <c r="D41" s="11">
        <v>188</v>
      </c>
      <c r="E41" s="12" t="s">
        <v>34</v>
      </c>
      <c r="F41" s="12" t="s">
        <v>35</v>
      </c>
      <c r="G41" s="12" t="s">
        <v>36</v>
      </c>
      <c r="H41" s="12" t="s">
        <v>36</v>
      </c>
      <c r="I41" s="11" t="s">
        <v>90</v>
      </c>
      <c r="J41" s="12" t="s">
        <v>91</v>
      </c>
      <c r="K41" s="13" t="s">
        <v>141</v>
      </c>
      <c r="L41" s="11" t="str">
        <f>"000009"</f>
        <v>000009</v>
      </c>
      <c r="M41" s="10">
        <v>43120</v>
      </c>
      <c r="N41" s="11" t="str">
        <f>"000035"</f>
        <v>000035</v>
      </c>
      <c r="O41" s="10">
        <v>43390</v>
      </c>
      <c r="P41" s="11" t="str">
        <f>"000192"</f>
        <v>000192</v>
      </c>
      <c r="Q41" s="10">
        <v>43390</v>
      </c>
      <c r="R41" s="11">
        <v>18</v>
      </c>
      <c r="S41" s="11" t="str">
        <f>"007087"</f>
        <v>007087</v>
      </c>
      <c r="T41" s="10">
        <v>43400</v>
      </c>
      <c r="U41" s="14">
        <v>197.64</v>
      </c>
      <c r="V41" s="14">
        <v>11.438000000000001</v>
      </c>
      <c r="W41" s="14">
        <v>186.202</v>
      </c>
      <c r="X41" s="11">
        <v>252</v>
      </c>
      <c r="Y41" s="10">
        <v>43402</v>
      </c>
      <c r="Z41" s="11">
        <v>9448907777</v>
      </c>
      <c r="AA41" s="12" t="s">
        <v>92</v>
      </c>
      <c r="AB41" s="11" t="s">
        <v>93</v>
      </c>
      <c r="AC41" s="12" t="s">
        <v>94</v>
      </c>
      <c r="AD41" s="11" t="s">
        <v>95</v>
      </c>
      <c r="AE41" s="12" t="s">
        <v>96</v>
      </c>
      <c r="AF41" s="14">
        <f t="shared" si="0"/>
        <v>1.9763999999999999</v>
      </c>
      <c r="AG41" s="11" t="s">
        <v>70</v>
      </c>
    </row>
    <row r="42" spans="1:33" x14ac:dyDescent="0.2">
      <c r="A42" s="8">
        <v>7032</v>
      </c>
      <c r="B42" s="9" t="s">
        <v>121</v>
      </c>
      <c r="C42" s="10">
        <v>43403</v>
      </c>
      <c r="D42" s="11">
        <v>188</v>
      </c>
      <c r="E42" s="12" t="s">
        <v>34</v>
      </c>
      <c r="F42" s="12" t="s">
        <v>35</v>
      </c>
      <c r="G42" s="12" t="s">
        <v>36</v>
      </c>
      <c r="H42" s="12" t="s">
        <v>36</v>
      </c>
      <c r="I42" s="11" t="s">
        <v>152</v>
      </c>
      <c r="J42" s="12" t="s">
        <v>153</v>
      </c>
      <c r="K42" s="13" t="s">
        <v>61</v>
      </c>
      <c r="L42" s="11" t="str">
        <f>"0071"</f>
        <v>0071</v>
      </c>
      <c r="M42" s="10">
        <v>1</v>
      </c>
      <c r="N42" s="11" t="str">
        <f>"000067"</f>
        <v>000067</v>
      </c>
      <c r="O42" s="10">
        <v>42632</v>
      </c>
      <c r="P42" s="11" t="str">
        <f>"000281"</f>
        <v>000281</v>
      </c>
      <c r="Q42" s="10">
        <v>42632</v>
      </c>
      <c r="R42" s="11">
        <v>16</v>
      </c>
      <c r="S42" s="11" t="str">
        <f>"006927"</f>
        <v>006927</v>
      </c>
      <c r="T42" s="10">
        <v>43398</v>
      </c>
      <c r="U42" s="14">
        <v>19.206949999999999</v>
      </c>
      <c r="V42" s="14">
        <v>2.59084</v>
      </c>
      <c r="W42" s="14">
        <v>16.616109999999999</v>
      </c>
      <c r="X42" s="11">
        <v>254</v>
      </c>
      <c r="Y42" s="10">
        <v>43403</v>
      </c>
      <c r="Z42" s="11">
        <v>9999999999</v>
      </c>
      <c r="AA42" s="12" t="s">
        <v>154</v>
      </c>
      <c r="AB42" s="11" t="s">
        <v>41</v>
      </c>
      <c r="AC42" s="12" t="s">
        <v>42</v>
      </c>
      <c r="AD42" s="11" t="s">
        <v>43</v>
      </c>
      <c r="AE42" s="12" t="s">
        <v>44</v>
      </c>
      <c r="AF42" s="14">
        <f t="shared" si="0"/>
        <v>0.1920695</v>
      </c>
      <c r="AG42" s="11" t="s">
        <v>45</v>
      </c>
    </row>
    <row r="43" spans="1:33" x14ac:dyDescent="0.2">
      <c r="A43" s="8">
        <v>7033</v>
      </c>
      <c r="B43" s="9" t="s">
        <v>121</v>
      </c>
      <c r="C43" s="10">
        <v>43403</v>
      </c>
      <c r="D43" s="11">
        <v>188</v>
      </c>
      <c r="E43" s="12" t="s">
        <v>34</v>
      </c>
      <c r="F43" s="12" t="s">
        <v>35</v>
      </c>
      <c r="G43" s="12" t="s">
        <v>36</v>
      </c>
      <c r="H43" s="12" t="s">
        <v>36</v>
      </c>
      <c r="I43" s="11" t="s">
        <v>155</v>
      </c>
      <c r="J43" s="12" t="s">
        <v>156</v>
      </c>
      <c r="K43" s="13" t="s">
        <v>39</v>
      </c>
      <c r="L43" s="11" t="str">
        <f>"000033"</f>
        <v>000033</v>
      </c>
      <c r="M43" s="10">
        <v>42415</v>
      </c>
      <c r="N43" s="11" t="str">
        <f>"000068"</f>
        <v>000068</v>
      </c>
      <c r="O43" s="10">
        <v>42825</v>
      </c>
      <c r="P43" s="11" t="str">
        <f>"000415"</f>
        <v>000415</v>
      </c>
      <c r="Q43" s="10">
        <v>42825</v>
      </c>
      <c r="R43" s="11">
        <v>16</v>
      </c>
      <c r="S43" s="11" t="str">
        <f>"006990"</f>
        <v>006990</v>
      </c>
      <c r="T43" s="10">
        <v>43400</v>
      </c>
      <c r="U43" s="14">
        <v>10.3307</v>
      </c>
      <c r="V43" s="14">
        <v>0.79956000000000005</v>
      </c>
      <c r="W43" s="14">
        <v>9.5311400000000006</v>
      </c>
      <c r="X43" s="11">
        <v>254</v>
      </c>
      <c r="Y43" s="10">
        <v>43403</v>
      </c>
      <c r="Z43" s="11">
        <v>9999999999</v>
      </c>
      <c r="AA43" s="12" t="s">
        <v>40</v>
      </c>
      <c r="AB43" s="11" t="s">
        <v>41</v>
      </c>
      <c r="AC43" s="12" t="s">
        <v>42</v>
      </c>
      <c r="AD43" s="11" t="s">
        <v>43</v>
      </c>
      <c r="AE43" s="12" t="s">
        <v>44</v>
      </c>
      <c r="AF43" s="14">
        <f t="shared" si="0"/>
        <v>0.103307</v>
      </c>
      <c r="AG43" s="11" t="s">
        <v>45</v>
      </c>
    </row>
    <row r="44" spans="1:33" x14ac:dyDescent="0.2">
      <c r="A44" s="8">
        <v>7359</v>
      </c>
      <c r="B44" s="9" t="s">
        <v>157</v>
      </c>
      <c r="C44" s="10">
        <v>43424</v>
      </c>
      <c r="D44" s="11">
        <v>188</v>
      </c>
      <c r="E44" s="12" t="s">
        <v>34</v>
      </c>
      <c r="F44" s="12" t="s">
        <v>35</v>
      </c>
      <c r="G44" s="12" t="s">
        <v>36</v>
      </c>
      <c r="H44" s="12" t="s">
        <v>36</v>
      </c>
      <c r="I44" s="11" t="s">
        <v>158</v>
      </c>
      <c r="J44" s="12" t="s">
        <v>159</v>
      </c>
      <c r="K44" s="13" t="s">
        <v>160</v>
      </c>
      <c r="L44" s="11" t="str">
        <f>"000016"</f>
        <v>000016</v>
      </c>
      <c r="M44" s="10">
        <v>43279</v>
      </c>
      <c r="N44" s="11" t="str">
        <f>"000070"</f>
        <v>000070</v>
      </c>
      <c r="O44" s="10">
        <v>43351</v>
      </c>
      <c r="P44" s="11" t="str">
        <f>"000118"</f>
        <v>000118</v>
      </c>
      <c r="Q44" s="10">
        <v>43351</v>
      </c>
      <c r="R44" s="11">
        <v>18</v>
      </c>
      <c r="S44" s="11" t="str">
        <f>"007388"</f>
        <v>007388</v>
      </c>
      <c r="T44" s="10">
        <v>43421</v>
      </c>
      <c r="U44" s="14">
        <v>18.63599</v>
      </c>
      <c r="V44" s="14">
        <v>1.5781400000000001</v>
      </c>
      <c r="W44" s="14">
        <v>17.057849999999998</v>
      </c>
      <c r="X44" s="11">
        <v>271</v>
      </c>
      <c r="Y44" s="10">
        <v>43424</v>
      </c>
      <c r="Z44" s="11">
        <v>9999999999</v>
      </c>
      <c r="AA44" s="12" t="s">
        <v>77</v>
      </c>
      <c r="AB44" s="11" t="s">
        <v>93</v>
      </c>
      <c r="AC44" s="12" t="s">
        <v>94</v>
      </c>
      <c r="AD44" s="11" t="s">
        <v>43</v>
      </c>
      <c r="AE44" s="12" t="s">
        <v>44</v>
      </c>
      <c r="AF44" s="14">
        <f t="shared" si="0"/>
        <v>0.1863599</v>
      </c>
      <c r="AG44" s="11" t="s">
        <v>86</v>
      </c>
    </row>
    <row r="45" spans="1:33" x14ac:dyDescent="0.2">
      <c r="A45" s="8">
        <v>7600</v>
      </c>
      <c r="B45" s="9" t="s">
        <v>161</v>
      </c>
      <c r="C45" s="10">
        <v>43437</v>
      </c>
      <c r="D45" s="11">
        <v>188</v>
      </c>
      <c r="E45" s="12" t="s">
        <v>34</v>
      </c>
      <c r="F45" s="12" t="s">
        <v>35</v>
      </c>
      <c r="G45" s="12" t="s">
        <v>36</v>
      </c>
      <c r="H45" s="12" t="s">
        <v>36</v>
      </c>
      <c r="I45" s="11" t="s">
        <v>162</v>
      </c>
      <c r="J45" s="12" t="s">
        <v>163</v>
      </c>
      <c r="K45" s="13" t="s">
        <v>39</v>
      </c>
      <c r="L45" s="11" t="str">
        <f>"000105"</f>
        <v>000105</v>
      </c>
      <c r="M45" s="10">
        <v>42786</v>
      </c>
      <c r="N45" s="11" t="str">
        <f>"000140"</f>
        <v>000140</v>
      </c>
      <c r="O45" s="10">
        <v>42824</v>
      </c>
      <c r="P45" s="11" t="str">
        <f>"000016"</f>
        <v>000016</v>
      </c>
      <c r="Q45" s="10">
        <v>42870</v>
      </c>
      <c r="R45" s="11">
        <v>17</v>
      </c>
      <c r="S45" s="11" t="str">
        <f>"007370"</f>
        <v>007370</v>
      </c>
      <c r="T45" s="10">
        <v>43420</v>
      </c>
      <c r="U45" s="14">
        <v>34.575040000000001</v>
      </c>
      <c r="V45" s="14">
        <v>4.4601699999999997</v>
      </c>
      <c r="W45" s="14">
        <v>30.11487</v>
      </c>
      <c r="X45" s="11">
        <v>279</v>
      </c>
      <c r="Y45" s="10">
        <v>43437</v>
      </c>
      <c r="Z45" s="11">
        <v>9880089327</v>
      </c>
      <c r="AA45" s="12" t="s">
        <v>164</v>
      </c>
      <c r="AB45" s="11" t="s">
        <v>41</v>
      </c>
      <c r="AC45" s="12" t="s">
        <v>42</v>
      </c>
      <c r="AD45" s="11" t="s">
        <v>43</v>
      </c>
      <c r="AE45" s="12" t="s">
        <v>44</v>
      </c>
      <c r="AF45" s="14">
        <f t="shared" si="0"/>
        <v>0.34575040000000001</v>
      </c>
      <c r="AG45" s="11" t="s">
        <v>45</v>
      </c>
    </row>
    <row r="46" spans="1:33" x14ac:dyDescent="0.2">
      <c r="A46" s="8">
        <v>8070</v>
      </c>
      <c r="B46" s="9" t="s">
        <v>161</v>
      </c>
      <c r="C46" s="10">
        <v>43455</v>
      </c>
      <c r="D46" s="11">
        <v>188</v>
      </c>
      <c r="E46" s="12" t="s">
        <v>34</v>
      </c>
      <c r="F46" s="12" t="s">
        <v>35</v>
      </c>
      <c r="G46" s="12" t="s">
        <v>36</v>
      </c>
      <c r="H46" s="12" t="s">
        <v>36</v>
      </c>
      <c r="I46" s="11" t="s">
        <v>165</v>
      </c>
      <c r="J46" s="12" t="s">
        <v>166</v>
      </c>
      <c r="K46" s="13" t="s">
        <v>39</v>
      </c>
      <c r="L46" s="11" t="str">
        <f>"000102"</f>
        <v>000102</v>
      </c>
      <c r="M46" s="10">
        <v>42826</v>
      </c>
      <c r="N46" s="11" t="str">
        <f>"00002A"</f>
        <v>00002A</v>
      </c>
      <c r="O46" s="10">
        <v>42853</v>
      </c>
      <c r="P46" s="11" t="str">
        <f>"000035"</f>
        <v>000035</v>
      </c>
      <c r="Q46" s="10">
        <v>42884</v>
      </c>
      <c r="R46" s="11">
        <v>17</v>
      </c>
      <c r="S46" s="11" t="str">
        <f>"008101"</f>
        <v>008101</v>
      </c>
      <c r="T46" s="10">
        <v>43454</v>
      </c>
      <c r="U46" s="14">
        <v>30.168369999999999</v>
      </c>
      <c r="V46" s="14">
        <v>3.73482</v>
      </c>
      <c r="W46" s="14">
        <v>26.43355</v>
      </c>
      <c r="X46" s="11">
        <v>301</v>
      </c>
      <c r="Y46" s="10">
        <v>43455</v>
      </c>
      <c r="Z46" s="11">
        <v>9845652653</v>
      </c>
      <c r="AA46" s="12" t="s">
        <v>167</v>
      </c>
      <c r="AB46" s="11" t="s">
        <v>41</v>
      </c>
      <c r="AC46" s="12" t="s">
        <v>42</v>
      </c>
      <c r="AD46" s="11" t="s">
        <v>43</v>
      </c>
      <c r="AE46" s="12" t="s">
        <v>44</v>
      </c>
      <c r="AF46" s="14">
        <f t="shared" si="0"/>
        <v>0.3016837</v>
      </c>
      <c r="AG46" s="11" t="s">
        <v>45</v>
      </c>
    </row>
    <row r="47" spans="1:33" x14ac:dyDescent="0.2">
      <c r="A47" s="8">
        <v>8130</v>
      </c>
      <c r="B47" s="9" t="s">
        <v>168</v>
      </c>
      <c r="C47" s="10">
        <v>43466</v>
      </c>
      <c r="D47" s="11">
        <v>188</v>
      </c>
      <c r="E47" s="12" t="s">
        <v>34</v>
      </c>
      <c r="F47" s="12" t="s">
        <v>35</v>
      </c>
      <c r="G47" s="12" t="s">
        <v>36</v>
      </c>
      <c r="H47" s="12" t="s">
        <v>36</v>
      </c>
      <c r="I47" s="11" t="s">
        <v>142</v>
      </c>
      <c r="J47" s="12" t="s">
        <v>143</v>
      </c>
      <c r="K47" s="13" t="s">
        <v>169</v>
      </c>
      <c r="L47" s="11" t="str">
        <f>"000008"</f>
        <v>000008</v>
      </c>
      <c r="M47" s="10">
        <v>43120</v>
      </c>
      <c r="N47" s="11" t="str">
        <f>"000055"</f>
        <v>000055</v>
      </c>
      <c r="O47" s="10">
        <v>43495</v>
      </c>
      <c r="P47" s="11" t="str">
        <f>"000274"</f>
        <v>000274</v>
      </c>
      <c r="Q47" s="10">
        <v>43496</v>
      </c>
      <c r="R47" s="11"/>
      <c r="S47" s="11" t="str">
        <f>""</f>
        <v/>
      </c>
      <c r="T47" s="10"/>
      <c r="U47" s="14">
        <v>198.53</v>
      </c>
      <c r="V47" s="14">
        <v>9.3191799999999994</v>
      </c>
      <c r="W47" s="14">
        <v>189.21082000000001</v>
      </c>
      <c r="X47" s="11">
        <v>308</v>
      </c>
      <c r="Y47" s="10">
        <v>43466</v>
      </c>
      <c r="Z47" s="11">
        <v>9448907777</v>
      </c>
      <c r="AA47" s="12" t="s">
        <v>92</v>
      </c>
      <c r="AB47" s="11" t="s">
        <v>93</v>
      </c>
      <c r="AC47" s="12" t="s">
        <v>94</v>
      </c>
      <c r="AD47" s="11" t="s">
        <v>95</v>
      </c>
      <c r="AE47" s="12" t="s">
        <v>96</v>
      </c>
      <c r="AF47" s="14">
        <f t="shared" si="0"/>
        <v>1.9853000000000001</v>
      </c>
      <c r="AG47" s="11" t="s">
        <v>70</v>
      </c>
    </row>
    <row r="48" spans="1:33" x14ac:dyDescent="0.2">
      <c r="A48" s="8">
        <v>8479</v>
      </c>
      <c r="B48" s="9" t="s">
        <v>168</v>
      </c>
      <c r="C48" s="10">
        <v>43472</v>
      </c>
      <c r="D48" s="11">
        <v>188</v>
      </c>
      <c r="E48" s="12" t="s">
        <v>34</v>
      </c>
      <c r="F48" s="12" t="s">
        <v>35</v>
      </c>
      <c r="G48" s="12" t="s">
        <v>36</v>
      </c>
      <c r="H48" s="12" t="s">
        <v>36</v>
      </c>
      <c r="I48" s="11" t="s">
        <v>142</v>
      </c>
      <c r="J48" s="12" t="s">
        <v>143</v>
      </c>
      <c r="K48" s="13" t="s">
        <v>169</v>
      </c>
      <c r="L48" s="11" t="str">
        <f>"000008"</f>
        <v>000008</v>
      </c>
      <c r="M48" s="10">
        <v>43120</v>
      </c>
      <c r="N48" s="11" t="str">
        <f>"000055"</f>
        <v>000055</v>
      </c>
      <c r="O48" s="10">
        <v>43495</v>
      </c>
      <c r="P48" s="11" t="str">
        <f>"000274"</f>
        <v>000274</v>
      </c>
      <c r="Q48" s="10">
        <v>43496</v>
      </c>
      <c r="R48" s="11"/>
      <c r="S48" s="11" t="str">
        <f>""</f>
        <v/>
      </c>
      <c r="T48" s="10"/>
      <c r="U48" s="14">
        <v>276.02999999999997</v>
      </c>
      <c r="V48" s="14">
        <v>12.990399999999999</v>
      </c>
      <c r="W48" s="14">
        <v>263.03960000000001</v>
      </c>
      <c r="X48" s="11">
        <v>317</v>
      </c>
      <c r="Y48" s="10">
        <v>43472</v>
      </c>
      <c r="Z48" s="11">
        <v>9448907777</v>
      </c>
      <c r="AA48" s="12" t="s">
        <v>92</v>
      </c>
      <c r="AB48" s="11" t="s">
        <v>93</v>
      </c>
      <c r="AC48" s="12" t="s">
        <v>94</v>
      </c>
      <c r="AD48" s="11" t="s">
        <v>95</v>
      </c>
      <c r="AE48" s="12" t="s">
        <v>96</v>
      </c>
      <c r="AF48" s="14">
        <f t="shared" si="0"/>
        <v>2.7602999999999995</v>
      </c>
      <c r="AG48" s="11" t="s">
        <v>70</v>
      </c>
    </row>
    <row r="49" spans="1:33" x14ac:dyDescent="0.2">
      <c r="A49" s="8">
        <v>8763</v>
      </c>
      <c r="B49" s="9" t="s">
        <v>168</v>
      </c>
      <c r="C49" s="10">
        <v>43486</v>
      </c>
      <c r="D49" s="11">
        <v>188</v>
      </c>
      <c r="E49" s="12" t="s">
        <v>34</v>
      </c>
      <c r="F49" s="12" t="s">
        <v>35</v>
      </c>
      <c r="G49" s="12" t="s">
        <v>36</v>
      </c>
      <c r="H49" s="12" t="s">
        <v>36</v>
      </c>
      <c r="I49" s="11" t="s">
        <v>142</v>
      </c>
      <c r="J49" s="12" t="s">
        <v>143</v>
      </c>
      <c r="K49" s="13" t="s">
        <v>169</v>
      </c>
      <c r="L49" s="11" t="str">
        <f>"000008"</f>
        <v>000008</v>
      </c>
      <c r="M49" s="10">
        <v>43120</v>
      </c>
      <c r="N49" s="11" t="str">
        <f>"000055"</f>
        <v>000055</v>
      </c>
      <c r="O49" s="10">
        <v>43495</v>
      </c>
      <c r="P49" s="11" t="str">
        <f>"000274"</f>
        <v>000274</v>
      </c>
      <c r="Q49" s="10">
        <v>43496</v>
      </c>
      <c r="R49" s="11"/>
      <c r="S49" s="11" t="str">
        <f>""</f>
        <v/>
      </c>
      <c r="T49" s="10"/>
      <c r="U49" s="14">
        <v>6.2350000000000003</v>
      </c>
      <c r="V49" s="14">
        <v>0.62350000000000005</v>
      </c>
      <c r="W49" s="14">
        <v>5.6115000000000004</v>
      </c>
      <c r="X49" s="11">
        <v>331</v>
      </c>
      <c r="Y49" s="10">
        <v>43486</v>
      </c>
      <c r="Z49" s="11">
        <v>9916557576</v>
      </c>
      <c r="AA49" s="12" t="s">
        <v>170</v>
      </c>
      <c r="AB49" s="11" t="s">
        <v>93</v>
      </c>
      <c r="AC49" s="12" t="s">
        <v>94</v>
      </c>
      <c r="AD49" s="11" t="s">
        <v>95</v>
      </c>
      <c r="AE49" s="12" t="s">
        <v>96</v>
      </c>
      <c r="AF49" s="14">
        <f t="shared" si="0"/>
        <v>6.2350000000000003E-2</v>
      </c>
      <c r="AG49" s="11" t="s">
        <v>70</v>
      </c>
    </row>
    <row r="50" spans="1:33" x14ac:dyDescent="0.2">
      <c r="A50" s="8">
        <v>9535</v>
      </c>
      <c r="B50" s="9" t="s">
        <v>171</v>
      </c>
      <c r="C50" s="10">
        <v>43531</v>
      </c>
      <c r="D50" s="11">
        <v>188</v>
      </c>
      <c r="E50" s="12" t="s">
        <v>34</v>
      </c>
      <c r="F50" s="12" t="s">
        <v>35</v>
      </c>
      <c r="G50" s="12" t="s">
        <v>36</v>
      </c>
      <c r="H50" s="12" t="s">
        <v>36</v>
      </c>
      <c r="I50" s="11" t="s">
        <v>172</v>
      </c>
      <c r="J50" s="12" t="s">
        <v>173</v>
      </c>
      <c r="K50" s="13" t="s">
        <v>39</v>
      </c>
      <c r="L50" s="11" t="str">
        <f>"000128"</f>
        <v>000128</v>
      </c>
      <c r="M50" s="10">
        <v>42814</v>
      </c>
      <c r="N50" s="11" t="str">
        <f>"000068"</f>
        <v>000068</v>
      </c>
      <c r="O50" s="10">
        <v>42916</v>
      </c>
      <c r="P50" s="11" t="str">
        <f>"000099"</f>
        <v>000099</v>
      </c>
      <c r="Q50" s="10">
        <v>42916</v>
      </c>
      <c r="R50" s="11"/>
      <c r="S50" s="11" t="str">
        <f>"009550"</f>
        <v>009550</v>
      </c>
      <c r="T50" s="10">
        <v>43526</v>
      </c>
      <c r="U50" s="14">
        <v>29.26315</v>
      </c>
      <c r="V50" s="14">
        <v>3.5674700000000001</v>
      </c>
      <c r="W50" s="14">
        <v>25.695679999999999</v>
      </c>
      <c r="X50" s="11">
        <v>370</v>
      </c>
      <c r="Y50" s="10">
        <v>43531</v>
      </c>
      <c r="Z50" s="11">
        <v>9999999999</v>
      </c>
      <c r="AA50" s="12" t="s">
        <v>154</v>
      </c>
      <c r="AB50" s="11" t="s">
        <v>41</v>
      </c>
      <c r="AC50" s="12" t="s">
        <v>42</v>
      </c>
      <c r="AD50" s="11" t="s">
        <v>43</v>
      </c>
      <c r="AE50" s="12" t="s">
        <v>44</v>
      </c>
      <c r="AF50" s="14">
        <f t="shared" si="0"/>
        <v>0.29263149999999999</v>
      </c>
      <c r="AG50" s="11" t="s">
        <v>45</v>
      </c>
    </row>
    <row r="51" spans="1:33" x14ac:dyDescent="0.2">
      <c r="A51" s="8">
        <v>9536</v>
      </c>
      <c r="B51" s="9" t="s">
        <v>171</v>
      </c>
      <c r="C51" s="10">
        <v>43531</v>
      </c>
      <c r="D51" s="11">
        <v>188</v>
      </c>
      <c r="E51" s="12" t="s">
        <v>34</v>
      </c>
      <c r="F51" s="12" t="s">
        <v>35</v>
      </c>
      <c r="G51" s="12" t="s">
        <v>36</v>
      </c>
      <c r="H51" s="12" t="s">
        <v>36</v>
      </c>
      <c r="I51" s="11" t="s">
        <v>174</v>
      </c>
      <c r="J51" s="12" t="s">
        <v>175</v>
      </c>
      <c r="K51" s="13" t="s">
        <v>39</v>
      </c>
      <c r="L51" s="11" t="str">
        <f>"0126"</f>
        <v>0126</v>
      </c>
      <c r="M51" s="10">
        <v>1</v>
      </c>
      <c r="N51" s="11" t="str">
        <f>"000067"</f>
        <v>000067</v>
      </c>
      <c r="O51" s="10">
        <v>42916</v>
      </c>
      <c r="P51" s="11" t="str">
        <f>"000100"</f>
        <v>000100</v>
      </c>
      <c r="Q51" s="10">
        <v>42916</v>
      </c>
      <c r="R51" s="11"/>
      <c r="S51" s="11" t="str">
        <f>"009551"</f>
        <v>009551</v>
      </c>
      <c r="T51" s="10">
        <v>43526</v>
      </c>
      <c r="U51" s="14">
        <v>14.330629999999999</v>
      </c>
      <c r="V51" s="14">
        <v>1.60548</v>
      </c>
      <c r="W51" s="14">
        <v>12.725149999999999</v>
      </c>
      <c r="X51" s="11">
        <v>370</v>
      </c>
      <c r="Y51" s="10">
        <v>43531</v>
      </c>
      <c r="Z51" s="11">
        <v>9999999999</v>
      </c>
      <c r="AA51" s="12" t="s">
        <v>154</v>
      </c>
      <c r="AB51" s="11" t="s">
        <v>41</v>
      </c>
      <c r="AC51" s="12" t="s">
        <v>42</v>
      </c>
      <c r="AD51" s="11" t="s">
        <v>43</v>
      </c>
      <c r="AE51" s="12" t="s">
        <v>44</v>
      </c>
      <c r="AF51" s="14">
        <f t="shared" si="0"/>
        <v>0.1433063</v>
      </c>
      <c r="AG51" s="11" t="s">
        <v>45</v>
      </c>
    </row>
    <row r="52" spans="1:33" x14ac:dyDescent="0.2">
      <c r="A52" s="8">
        <v>9857</v>
      </c>
      <c r="B52" s="9" t="s">
        <v>171</v>
      </c>
      <c r="C52" s="10">
        <v>43549</v>
      </c>
      <c r="D52" s="11">
        <v>188</v>
      </c>
      <c r="E52" s="12" t="s">
        <v>34</v>
      </c>
      <c r="F52" s="12" t="s">
        <v>35</v>
      </c>
      <c r="G52" s="12" t="s">
        <v>36</v>
      </c>
      <c r="H52" s="12" t="s">
        <v>36</v>
      </c>
      <c r="I52" s="11" t="s">
        <v>176</v>
      </c>
      <c r="J52" s="12" t="s">
        <v>177</v>
      </c>
      <c r="K52" s="13" t="s">
        <v>61</v>
      </c>
      <c r="L52" s="11" t="str">
        <f>"0051"</f>
        <v>0051</v>
      </c>
      <c r="M52" s="10">
        <v>1</v>
      </c>
      <c r="N52" s="11" t="str">
        <f>"000085"</f>
        <v>000085</v>
      </c>
      <c r="O52" s="10">
        <v>42786</v>
      </c>
      <c r="P52" s="11" t="str">
        <f>"000102"</f>
        <v>000102</v>
      </c>
      <c r="Q52" s="10">
        <v>42824</v>
      </c>
      <c r="R52" s="11"/>
      <c r="S52" s="11" t="str">
        <f>"009885"</f>
        <v>009885</v>
      </c>
      <c r="T52" s="10">
        <v>43545</v>
      </c>
      <c r="U52" s="14">
        <v>49.38664</v>
      </c>
      <c r="V52" s="14">
        <v>6.5915100000000004</v>
      </c>
      <c r="W52" s="14">
        <v>42.79513</v>
      </c>
      <c r="X52" s="11">
        <v>384</v>
      </c>
      <c r="Y52" s="10">
        <v>43549</v>
      </c>
      <c r="Z52" s="11">
        <v>9999999999</v>
      </c>
      <c r="AA52" s="12" t="s">
        <v>77</v>
      </c>
      <c r="AB52" s="11" t="s">
        <v>178</v>
      </c>
      <c r="AC52" s="12" t="s">
        <v>179</v>
      </c>
      <c r="AD52" s="11" t="s">
        <v>68</v>
      </c>
      <c r="AE52" s="12" t="s">
        <v>69</v>
      </c>
      <c r="AF52" s="14">
        <f t="shared" si="0"/>
        <v>0.49386639999999998</v>
      </c>
      <c r="AG52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2019-06-14T08:45:30Z</dcterms:modified>
</cp:coreProperties>
</file>