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ownloads\2019-20 Budget Input\Budget Performance Report 2018-19\Data for Openwork Page 2018-19 BPR\Contractor Bill Paid (BR)\"/>
    </mc:Choice>
  </mc:AlternateContent>
  <bookViews>
    <workbookView xWindow="0" yWindow="0" windowWidth="15360" windowHeight="7755"/>
  </bookViews>
  <sheets>
    <sheet name="1st Apr 2018 31st Mar 2019" sheetId="1" r:id="rId1"/>
  </sheets>
  <definedNames>
    <definedName name="_xlnm._FilterDatabase" localSheetId="0" hidden="1">'1st Apr 2018 31st Mar 2019'!$A$1:$AG$1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F65" i="1" l="1"/>
  <c r="S65" i="1"/>
  <c r="P65" i="1"/>
  <c r="N65" i="1"/>
  <c r="L65" i="1"/>
  <c r="AF64" i="1"/>
  <c r="S64" i="1"/>
  <c r="P64" i="1"/>
  <c r="N64" i="1"/>
  <c r="L64" i="1"/>
  <c r="AF63" i="1"/>
  <c r="S63" i="1"/>
  <c r="P63" i="1"/>
  <c r="N63" i="1"/>
  <c r="L63" i="1"/>
  <c r="AF62" i="1"/>
  <c r="S62" i="1"/>
  <c r="P62" i="1"/>
  <c r="N62" i="1"/>
  <c r="L62" i="1"/>
  <c r="AF61" i="1"/>
  <c r="S61" i="1"/>
  <c r="P61" i="1"/>
  <c r="N61" i="1"/>
  <c r="L61" i="1"/>
  <c r="AF60" i="1"/>
  <c r="S60" i="1"/>
  <c r="P60" i="1"/>
  <c r="N60" i="1"/>
  <c r="L60" i="1"/>
  <c r="AF59" i="1"/>
  <c r="S59" i="1"/>
  <c r="P59" i="1"/>
  <c r="N59" i="1"/>
  <c r="L59" i="1"/>
  <c r="AF58" i="1"/>
  <c r="S58" i="1"/>
  <c r="P58" i="1"/>
  <c r="N58" i="1"/>
  <c r="L58" i="1"/>
  <c r="AF57" i="1"/>
  <c r="S57" i="1"/>
  <c r="P57" i="1"/>
  <c r="N57" i="1"/>
  <c r="L57" i="1"/>
  <c r="AF56" i="1"/>
  <c r="S56" i="1"/>
  <c r="P56" i="1"/>
  <c r="N56" i="1"/>
  <c r="L56" i="1"/>
  <c r="AF55" i="1"/>
  <c r="S55" i="1"/>
  <c r="P55" i="1"/>
  <c r="N55" i="1"/>
  <c r="L55" i="1"/>
  <c r="AF54" i="1"/>
  <c r="S54" i="1"/>
  <c r="P54" i="1"/>
  <c r="N54" i="1"/>
  <c r="L54" i="1"/>
  <c r="AF53" i="1"/>
  <c r="S53" i="1"/>
  <c r="P53" i="1"/>
  <c r="N53" i="1"/>
  <c r="L53" i="1"/>
  <c r="AF52" i="1"/>
  <c r="S52" i="1"/>
  <c r="P52" i="1"/>
  <c r="N52" i="1"/>
  <c r="L52" i="1"/>
  <c r="AF51" i="1"/>
  <c r="S51" i="1"/>
  <c r="P51" i="1"/>
  <c r="N51" i="1"/>
  <c r="L51" i="1"/>
  <c r="AF50" i="1"/>
  <c r="S50" i="1"/>
  <c r="P50" i="1"/>
  <c r="N50" i="1"/>
  <c r="L50" i="1"/>
  <c r="AF49" i="1"/>
  <c r="S49" i="1"/>
  <c r="P49" i="1"/>
  <c r="N49" i="1"/>
  <c r="L49" i="1"/>
  <c r="AF48" i="1"/>
  <c r="S48" i="1"/>
  <c r="P48" i="1"/>
  <c r="N48" i="1"/>
  <c r="L48" i="1"/>
  <c r="AF47" i="1"/>
  <c r="S47" i="1"/>
  <c r="P47" i="1"/>
  <c r="N47" i="1"/>
  <c r="L47" i="1"/>
  <c r="AF46" i="1"/>
  <c r="S46" i="1"/>
  <c r="P46" i="1"/>
  <c r="N46" i="1"/>
  <c r="L46" i="1"/>
  <c r="AF45" i="1"/>
  <c r="S45" i="1"/>
  <c r="P45" i="1"/>
  <c r="N45" i="1"/>
  <c r="L45" i="1"/>
  <c r="AF44" i="1"/>
  <c r="S44" i="1"/>
  <c r="P44" i="1"/>
  <c r="N44" i="1"/>
  <c r="L44" i="1"/>
  <c r="AF43" i="1"/>
  <c r="S43" i="1"/>
  <c r="P43" i="1"/>
  <c r="N43" i="1"/>
  <c r="L43" i="1"/>
  <c r="AF42" i="1"/>
  <c r="S42" i="1"/>
  <c r="P42" i="1"/>
  <c r="N42" i="1"/>
  <c r="L42" i="1"/>
  <c r="AF41" i="1"/>
  <c r="S41" i="1"/>
  <c r="P41" i="1"/>
  <c r="N41" i="1"/>
  <c r="L41" i="1"/>
  <c r="AF40" i="1"/>
  <c r="S40" i="1"/>
  <c r="P40" i="1"/>
  <c r="N40" i="1"/>
  <c r="L40" i="1"/>
  <c r="AF39" i="1"/>
  <c r="S39" i="1"/>
  <c r="P39" i="1"/>
  <c r="N39" i="1"/>
  <c r="L39" i="1"/>
  <c r="S38" i="1"/>
  <c r="P38" i="1"/>
  <c r="N38" i="1"/>
  <c r="L38" i="1"/>
  <c r="S37" i="1"/>
  <c r="P37" i="1"/>
  <c r="N37" i="1"/>
  <c r="L37" i="1"/>
  <c r="S36" i="1"/>
  <c r="P36" i="1"/>
  <c r="N36" i="1"/>
  <c r="L36" i="1"/>
  <c r="S35" i="1"/>
  <c r="P35" i="1"/>
  <c r="N35" i="1"/>
  <c r="L35" i="1"/>
  <c r="S34" i="1"/>
  <c r="P34" i="1"/>
  <c r="N34" i="1"/>
  <c r="L34" i="1"/>
  <c r="S33" i="1"/>
  <c r="P33" i="1"/>
  <c r="N33" i="1"/>
  <c r="L33" i="1"/>
  <c r="S32" i="1"/>
  <c r="P32" i="1"/>
  <c r="N32" i="1"/>
  <c r="L32" i="1"/>
  <c r="S31" i="1"/>
  <c r="P31" i="1"/>
  <c r="N31" i="1"/>
  <c r="L31" i="1"/>
  <c r="S30" i="1"/>
  <c r="P30" i="1"/>
  <c r="N30" i="1"/>
  <c r="L30" i="1"/>
  <c r="S29" i="1"/>
  <c r="P29" i="1"/>
  <c r="N29" i="1"/>
  <c r="L29" i="1"/>
  <c r="S28" i="1"/>
  <c r="P28" i="1"/>
  <c r="N28" i="1"/>
  <c r="L28" i="1"/>
  <c r="S27" i="1"/>
  <c r="P27" i="1"/>
  <c r="N27" i="1"/>
  <c r="L27" i="1"/>
  <c r="S26" i="1"/>
  <c r="P26" i="1"/>
  <c r="N26" i="1"/>
  <c r="L26" i="1"/>
  <c r="S25" i="1"/>
  <c r="P25" i="1"/>
  <c r="N25" i="1"/>
  <c r="L25" i="1"/>
  <c r="S24" i="1"/>
  <c r="P24" i="1"/>
  <c r="N24" i="1"/>
  <c r="L24" i="1"/>
  <c r="S23" i="1"/>
  <c r="P23" i="1"/>
  <c r="N23" i="1"/>
  <c r="L23" i="1"/>
  <c r="S22" i="1"/>
  <c r="P22" i="1"/>
  <c r="N22" i="1"/>
  <c r="L22" i="1"/>
  <c r="S21" i="1"/>
  <c r="P21" i="1"/>
  <c r="N21" i="1"/>
  <c r="L21" i="1"/>
  <c r="S20" i="1"/>
  <c r="P20" i="1"/>
  <c r="N20" i="1"/>
  <c r="L20" i="1"/>
  <c r="S19" i="1"/>
  <c r="P19" i="1"/>
  <c r="N19" i="1"/>
  <c r="L19" i="1"/>
  <c r="S18" i="1"/>
  <c r="P18" i="1"/>
  <c r="N18" i="1"/>
  <c r="L18" i="1"/>
  <c r="S17" i="1"/>
  <c r="P17" i="1"/>
  <c r="N17" i="1"/>
  <c r="L17" i="1"/>
  <c r="S16" i="1"/>
  <c r="P16" i="1"/>
  <c r="N16" i="1"/>
  <c r="L16" i="1"/>
  <c r="S15" i="1"/>
  <c r="P15" i="1"/>
  <c r="N15" i="1"/>
  <c r="L15" i="1"/>
  <c r="S14" i="1"/>
  <c r="P14" i="1"/>
  <c r="N14" i="1"/>
  <c r="L14" i="1"/>
  <c r="S13" i="1"/>
  <c r="P13" i="1"/>
  <c r="N13" i="1"/>
  <c r="L13" i="1"/>
  <c r="S12" i="1"/>
  <c r="P12" i="1"/>
  <c r="N12" i="1"/>
  <c r="L12" i="1"/>
  <c r="S11" i="1"/>
  <c r="P11" i="1"/>
  <c r="N11" i="1"/>
  <c r="L11" i="1"/>
  <c r="S10" i="1"/>
  <c r="P10" i="1"/>
  <c r="N10" i="1"/>
  <c r="L10" i="1"/>
  <c r="S9" i="1"/>
  <c r="P9" i="1"/>
  <c r="N9" i="1"/>
  <c r="L9" i="1"/>
  <c r="S8" i="1"/>
  <c r="P8" i="1"/>
  <c r="N8" i="1"/>
  <c r="L8" i="1"/>
  <c r="S7" i="1"/>
  <c r="P7" i="1"/>
  <c r="N7" i="1"/>
  <c r="L7" i="1"/>
  <c r="S6" i="1"/>
  <c r="P6" i="1"/>
  <c r="N6" i="1"/>
  <c r="L6" i="1"/>
  <c r="S5" i="1"/>
  <c r="P5" i="1"/>
  <c r="N5" i="1"/>
  <c r="L5" i="1"/>
  <c r="S4" i="1"/>
  <c r="P4" i="1"/>
  <c r="N4" i="1"/>
  <c r="L4" i="1"/>
  <c r="S3" i="1"/>
  <c r="P3" i="1"/>
  <c r="N3" i="1"/>
  <c r="L3" i="1"/>
  <c r="S2" i="1"/>
  <c r="P2" i="1"/>
  <c r="N2" i="1"/>
  <c r="L2" i="1"/>
</calcChain>
</file>

<file path=xl/sharedStrings.xml><?xml version="1.0" encoding="utf-8"?>
<sst xmlns="http://schemas.openxmlformats.org/spreadsheetml/2006/main" count="929" uniqueCount="233">
  <si>
    <t>SL No</t>
  </si>
  <si>
    <t>Month</t>
  </si>
  <si>
    <t>Date</t>
  </si>
  <si>
    <t>Ward_No</t>
  </si>
  <si>
    <t>Ward_Name</t>
  </si>
  <si>
    <t>Sub_Division</t>
  </si>
  <si>
    <t>Division</t>
  </si>
  <si>
    <t>Zone</t>
  </si>
  <si>
    <t>Job_Code</t>
  </si>
  <si>
    <t>Job_Description</t>
  </si>
  <si>
    <t>Category</t>
  </si>
  <si>
    <t>Work_ Order</t>
  </si>
  <si>
    <t>Work_Order_Date</t>
  </si>
  <si>
    <t>Sub Bill Register_No</t>
  </si>
  <si>
    <t>Sub Bill Register_Date</t>
  </si>
  <si>
    <t>Bill Register No</t>
  </si>
  <si>
    <t>Bill Register Date</t>
  </si>
  <si>
    <t>Job Code Year</t>
  </si>
  <si>
    <t>CBR_No</t>
  </si>
  <si>
    <t>CBR_Date</t>
  </si>
  <si>
    <t>Gross_ Amount In Lakhs</t>
  </si>
  <si>
    <t>Deduction In Lakhs</t>
  </si>
  <si>
    <t>Nett_ Amount In Lakhs</t>
  </si>
  <si>
    <t>RTGS_No</t>
  </si>
  <si>
    <t>RTGS_Date</t>
  </si>
  <si>
    <t>Contractor Number</t>
  </si>
  <si>
    <t>Contractor_Name</t>
  </si>
  <si>
    <t>P_Code</t>
  </si>
  <si>
    <t>Budget_Head</t>
  </si>
  <si>
    <t>Budget_ Head_ID</t>
  </si>
  <si>
    <t>Engineer Details</t>
  </si>
  <si>
    <t>Gross_ Amount In Cr</t>
  </si>
  <si>
    <t xml:space="preserve">Current/Pending /Spill over </t>
  </si>
  <si>
    <t>April</t>
  </si>
  <si>
    <t>Konankunte</t>
  </si>
  <si>
    <t>Kottanooru</t>
  </si>
  <si>
    <t>Bengaluru South</t>
  </si>
  <si>
    <t>Bommana Halli</t>
  </si>
  <si>
    <t>195-17-000040</t>
  </si>
  <si>
    <t>Providing Asphalting to Main and Cross Roads of Nrupathunga nagara in ward no 195</t>
  </si>
  <si>
    <t>Roads &amp; Drivablility</t>
  </si>
  <si>
    <t>Sri B K Vinod Kumar</t>
  </si>
  <si>
    <t>P3158</t>
  </si>
  <si>
    <t>SIP Infrastructure Project works</t>
  </si>
  <si>
    <t>ddo444</t>
  </si>
  <si>
    <t xml:space="preserve"> Assistant Executive Engineer Anjanapura  sub Division Bomanahalli Zone</t>
  </si>
  <si>
    <t>Pending</t>
  </si>
  <si>
    <t>195-17-000035</t>
  </si>
  <si>
    <t>Improvements to roads and drains and Providing Asphalting to 1st Main and 2nd Main up to 8th Main South side RBI layout in ward no 195</t>
  </si>
  <si>
    <t>Footpaths &amp; Walkability</t>
  </si>
  <si>
    <t>195-17-000037</t>
  </si>
  <si>
    <t>Providing Asphalting to Main and Balance Roads in Gowravanagara in ward no 195</t>
  </si>
  <si>
    <t>195-17-000048</t>
  </si>
  <si>
    <t>Improvements to Roads and drains in Suprajanagar in ward no 195</t>
  </si>
  <si>
    <t>195-17-000042</t>
  </si>
  <si>
    <t>Providing Asphalting to Main and Cross of Krishna Nagara in ward no 195</t>
  </si>
  <si>
    <t>195-17-000045</t>
  </si>
  <si>
    <t>Improvements of roads and drains at Old Bank colony in ward n 195</t>
  </si>
  <si>
    <t>195-17-000038</t>
  </si>
  <si>
    <t>Providing Asphalting to 2nd and 6th Main of Santrupthinagara in ward no 195</t>
  </si>
  <si>
    <t>195-17-000039</t>
  </si>
  <si>
    <t xml:space="preserve">Providing Asphalting to Main and Cross Roads 1st main Srinidhi layout in ward no 195 </t>
  </si>
  <si>
    <t>195-17-000036</t>
  </si>
  <si>
    <t>Providing Asphalting to main and cross road in nataraja layout in ward no 195</t>
  </si>
  <si>
    <t>195-17-000043</t>
  </si>
  <si>
    <t>Providing Asphalting to Main and Cross of Shreyas Colony in ward no 195</t>
  </si>
  <si>
    <t>195-17-000049</t>
  </si>
  <si>
    <t>Improvements to 2nd main Gowravanagara and cross roads of Shreyas colony in ward n 195</t>
  </si>
  <si>
    <t>195-17-000034</t>
  </si>
  <si>
    <t>Improvements roads and drains in RBI layout 1st main 2nd main 1st cross 2nd cross upto 5th main (Near water tank) in ward no 195</t>
  </si>
  <si>
    <t>195-17-000046</t>
  </si>
  <si>
    <t>Improvements to Roads and drains in 7th Main Navodayanagara in ward no 195</t>
  </si>
  <si>
    <t>195-17-000041</t>
  </si>
  <si>
    <t>Providing Asphalting Main and Cross Roads in Gowtham layout (T.R. Hospital Back Side) in ward no 195</t>
  </si>
  <si>
    <t>195-17-000062</t>
  </si>
  <si>
    <t>Engagement of Gangman and Hiring of Tractor Tippers for cleaning and Maintenance of road side drains and other cleaning works in works in ward no 195</t>
  </si>
  <si>
    <t>Other Ward Works</t>
  </si>
  <si>
    <t>Sri N Nagaraju</t>
  </si>
  <si>
    <t>P3110</t>
  </si>
  <si>
    <t>14th Finance Commission Grant Works</t>
  </si>
  <si>
    <t>195-16-000029</t>
  </si>
  <si>
    <t>Improvements of Roads and drains at Konanakunte and Chunchaghatta Colonies in ward no 195</t>
  </si>
  <si>
    <t>hanumantharaya</t>
  </si>
  <si>
    <t>P1878</t>
  </si>
  <si>
    <t>18per - Works (Bhagyajyothi, Sooru / Neeru Yojane and General) (54 Lakhs / New Wards)</t>
  </si>
  <si>
    <t>195-16-000010</t>
  </si>
  <si>
    <t>Construction of Drain and Improvements to 11th Cross road at Shreyas Colony in ward no 195</t>
  </si>
  <si>
    <t>Srinivas M</t>
  </si>
  <si>
    <t>P1771</t>
  </si>
  <si>
    <t>Zone Works - POW Works</t>
  </si>
  <si>
    <t>195-17-000061</t>
  </si>
  <si>
    <t>Providing Modren Dust Bin in Bangalore City in ward no 195</t>
  </si>
  <si>
    <t>Sri Bharath S</t>
  </si>
  <si>
    <t>May</t>
  </si>
  <si>
    <t>195-16-000011</t>
  </si>
  <si>
    <t>Drilling of New Borewells at Beereshwara nagara, Chunchaghatta and Eshwara layout in ward no 195</t>
  </si>
  <si>
    <t>Water &amp; Sanitary</t>
  </si>
  <si>
    <t>mohan murali n k</t>
  </si>
  <si>
    <t>P1802</t>
  </si>
  <si>
    <t>Water Supply New Areas</t>
  </si>
  <si>
    <t>195-17-000047</t>
  </si>
  <si>
    <t>Construction of drains in Vasanthavallabhanagara in ward no 195</t>
  </si>
  <si>
    <t>195-16-000003</t>
  </si>
  <si>
    <t>Maintenance of Ward in ward no 195</t>
  </si>
  <si>
    <t>Nagaraju N</t>
  </si>
  <si>
    <t>195-16-000023</t>
  </si>
  <si>
    <t>Providing Concrete roads near kothnur dinne in ward no 195</t>
  </si>
  <si>
    <t>Seenappa H K</t>
  </si>
  <si>
    <t>P3089</t>
  </si>
  <si>
    <t>Special Development works in 7 CMC and 1 TMC area in BBMP</t>
  </si>
  <si>
    <t>195-18-000040</t>
  </si>
  <si>
    <t>DEVELOPMENT OF WORKS AT SC/ST BENIFICIARIES AREA AT BEERESHWARA NAGARA SURROUNDING IN WARD NO 195</t>
  </si>
  <si>
    <t>M/s KRIDL</t>
  </si>
  <si>
    <t>Spill Over</t>
  </si>
  <si>
    <t>June</t>
  </si>
  <si>
    <t>195-18-000041</t>
  </si>
  <si>
    <t>DEVELOPMENT OF WORKS AT SC/ST BENIFICIARIES AREA AT CHUNCHAGHATTA SURROUNDING IN WARD NO 195</t>
  </si>
  <si>
    <t>195-16-000024</t>
  </si>
  <si>
    <t>Providing Asphalting to Nrupatunganagara in ward no 195</t>
  </si>
  <si>
    <t>vijay kumar a</t>
  </si>
  <si>
    <t>195-16-000025</t>
  </si>
  <si>
    <t>Providing Asphalting to Gowrava nagara in ward no 195</t>
  </si>
  <si>
    <t>195-16-000020</t>
  </si>
  <si>
    <t>Providing Asphalting to Shreyas colony 12th main and surrounding layout in ward no 195</t>
  </si>
  <si>
    <t>195-16-000021</t>
  </si>
  <si>
    <t>Providing Asphalting to Annaporneshwari layout in ward no 195</t>
  </si>
  <si>
    <t>195-16-000022</t>
  </si>
  <si>
    <t>Providng Approch roads near Maruthi layout 5th cross in ward no 195</t>
  </si>
  <si>
    <t>195-17-000020</t>
  </si>
  <si>
    <t>Providing damaged water supply lines in ward 195</t>
  </si>
  <si>
    <t>Francis A</t>
  </si>
  <si>
    <t>195-18-000002</t>
  </si>
  <si>
    <t>Improvements to Road and Drains at Gowtham layout in ward no 195</t>
  </si>
  <si>
    <t>July</t>
  </si>
  <si>
    <t>195-17-000001</t>
  </si>
  <si>
    <t>Improvements to roads and drains and footpaths from lions Hospitalto Brigade Gardenia in R.B.I. layout ward 195</t>
  </si>
  <si>
    <t>KRIDL</t>
  </si>
  <si>
    <t>P0190</t>
  </si>
  <si>
    <t>Works sanctioned by Hon Mayor</t>
  </si>
  <si>
    <t>195-16-000001</t>
  </si>
  <si>
    <t>Annual Operation and Maintenance of street lighting system in ward no-195 Package B12 of Bommanahalli zone.</t>
  </si>
  <si>
    <t>M/s Sree Sreekanteswara Electricals</t>
  </si>
  <si>
    <t>P0300</t>
  </si>
  <si>
    <t>M and R to Street Lights - Replacement of Burnt Bulbs etc. (Package)</t>
  </si>
  <si>
    <t>ddo439</t>
  </si>
  <si>
    <t xml:space="preserve"> Executive Engineer Electrical Division Bomanahalli Zone</t>
  </si>
  <si>
    <t>August</t>
  </si>
  <si>
    <t>195-16-000033</t>
  </si>
  <si>
    <t>Improvements of drains at Kothnur Village in Ward No 195</t>
  </si>
  <si>
    <t>Hanumantharaya</t>
  </si>
  <si>
    <t>P3071</t>
  </si>
  <si>
    <t>Development of Backward regions of Muncipal area under BBMP limits</t>
  </si>
  <si>
    <t>195-15-000008</t>
  </si>
  <si>
    <t>Providing Asphalting from Yellamma temple to Chunchaghatta circle in ward no 195</t>
  </si>
  <si>
    <t>UDAY KUMAR K</t>
  </si>
  <si>
    <t>195-16-000026</t>
  </si>
  <si>
    <t>Improvements to Road and Footpath form Corporation Bank to M.S.Ramaiah City Gate in ward no 195</t>
  </si>
  <si>
    <t>BOREGOWDA H B</t>
  </si>
  <si>
    <t>195-18-000039</t>
  </si>
  <si>
    <t>DEVELOPMENT OF WORKS AT SC/ST BENIFICIARIES AREA AT KOANAKUNTE SURROUNDING IN WARD NO 195</t>
  </si>
  <si>
    <t>September</t>
  </si>
  <si>
    <t>195-17-000023</t>
  </si>
  <si>
    <t>Improvements to Roads and drains at Lakshmi layout Main and cross roads in ward no 195</t>
  </si>
  <si>
    <t>P3172</t>
  </si>
  <si>
    <t>Special Development works in ward No.177,78,97, 57,99,100,68,11,126,168, 113,02, 181,03, 21,33,23,24,27 ,59,53,57,81,47, 45,72, 50,91,92,117,145,146,147,148,151,152, 122,134, 157, 84,85,150,163, 179,180, 170, 171, 175,176, 173,174, 186,189, 190,193,185,191,194, 195,196, 127, (Rs.200 lakhs each ward)</t>
  </si>
  <si>
    <t>195-17-000022</t>
  </si>
  <si>
    <t>Improvements Roads and drains at Raghavendra Layout 1st Main 2nd Main 3rd Main and Cross Roads in ward no 195</t>
  </si>
  <si>
    <t>195-17-000070</t>
  </si>
  <si>
    <t>Providing SV-LED LIghts, Tublar pool and other equipments in ward no 195</t>
  </si>
  <si>
    <t>M/s Technical Manager- 01 KRIDL</t>
  </si>
  <si>
    <t>P2178</t>
  </si>
  <si>
    <t>Works sanctioned by Dy. Mayor</t>
  </si>
  <si>
    <t>October</t>
  </si>
  <si>
    <t>195-17-000058</t>
  </si>
  <si>
    <t>Providing CC Roads at Kothnur Village in ward no 195</t>
  </si>
  <si>
    <t>December</t>
  </si>
  <si>
    <t>195-17-000012</t>
  </si>
  <si>
    <t>Providing CC roads at Chunchaghatta in ward no 195</t>
  </si>
  <si>
    <t>S R Giriraju</t>
  </si>
  <si>
    <t>195-17-000064</t>
  </si>
  <si>
    <t>Providing drains and covering slab at RBI layout 11th main from Bridge gardenia to Eshwara layout main road in ward no 195</t>
  </si>
  <si>
    <t>P2415</t>
  </si>
  <si>
    <t>Reserve fund for TandF Committee</t>
  </si>
  <si>
    <t>195-17-000068</t>
  </si>
  <si>
    <t>Improvements to roads and drains at Nataraja Layout main and cross roads in ward no 195</t>
  </si>
  <si>
    <t>195-17-000066</t>
  </si>
  <si>
    <t>Improvements to roads and drains at RBI Layout 5th main and cross roads in ward no 195</t>
  </si>
  <si>
    <t>195-17-000065</t>
  </si>
  <si>
    <t>Improvements to roads and providing asphalting at RBI layout 11th main from Brigade Gardenia to Eshwara layout main road in ward no 195</t>
  </si>
  <si>
    <t>February</t>
  </si>
  <si>
    <t>195-16-000027</t>
  </si>
  <si>
    <t>Development and Improvements to Roads and drain in ward. No.195 Konanakunte area surroundings</t>
  </si>
  <si>
    <t>March</t>
  </si>
  <si>
    <t>195-17-000067</t>
  </si>
  <si>
    <t>Improvements to roads and drains at From SBM to Gowravanagara main and cross roads in ward no 195</t>
  </si>
  <si>
    <t>K.R.I.D.L</t>
  </si>
  <si>
    <t>195-17-000026</t>
  </si>
  <si>
    <t>Providing Name Boards to main and cross roads in ward no 195</t>
  </si>
  <si>
    <t>195-17-000011</t>
  </si>
  <si>
    <t>Improvements of roads form Chunchaghatta Main Road to Konanakunte in ward no 195</t>
  </si>
  <si>
    <t>Prateek K R</t>
  </si>
  <si>
    <t>195-17-000015</t>
  </si>
  <si>
    <t>Improvements to roads and drains in Suprajanagara in ward no 195</t>
  </si>
  <si>
    <t>195-17-000009</t>
  </si>
  <si>
    <t>Improvements to roads and drains at Beereshwaranagara near Burial Ground in ward no 195</t>
  </si>
  <si>
    <t xml:space="preserve">Prateek K R </t>
  </si>
  <si>
    <t>195-17-000008</t>
  </si>
  <si>
    <t>Improvements of RBI layout near Brigade Gardenia in ward no 195</t>
  </si>
  <si>
    <t>195-17-000007</t>
  </si>
  <si>
    <t>Improvements of Roads and drains at Nrupatunga nagara in ward no 195</t>
  </si>
  <si>
    <t>195-17-000014</t>
  </si>
  <si>
    <t>Improvements to roads and drains in Muniswamappa layout in ward no 195</t>
  </si>
  <si>
    <t>G Gopala</t>
  </si>
  <si>
    <t>195-17-000010</t>
  </si>
  <si>
    <t>Improvements of roads in Old Bank Colony in ward no 195</t>
  </si>
  <si>
    <t>Saanvi Earth Movers &amp; Constructions</t>
  </si>
  <si>
    <t>195-17-000004</t>
  </si>
  <si>
    <t>Improvements of Roads and drains at Shreyas Colony 2nd Main in ward no 195</t>
  </si>
  <si>
    <t>195-17-000006</t>
  </si>
  <si>
    <t>Improvements of Roads and drains at Krishnagara in ward no 195</t>
  </si>
  <si>
    <t>195-18-000036</t>
  </si>
  <si>
    <t>Establishment to RO Plant in ward no 195</t>
  </si>
  <si>
    <t>Drinking Water</t>
  </si>
  <si>
    <t>195-17-000021</t>
  </si>
  <si>
    <t>Development of playground at RBI layout in ward no 195</t>
  </si>
  <si>
    <t>Trees, Parks &amp; Playgrounds</t>
  </si>
  <si>
    <t>Sri K Ramachandra Raju</t>
  </si>
  <si>
    <t>P3106</t>
  </si>
  <si>
    <t>Nagarothana Works</t>
  </si>
  <si>
    <t>195-17-000025</t>
  </si>
  <si>
    <t>Improvements Roads and drains at Sai Encalve and Sun City and Surrounding areas in ward no 195</t>
  </si>
  <si>
    <t>195-17-000024</t>
  </si>
  <si>
    <t>Improvements to roads and drains at Shreyas Colony 9th Main 10th Main and Surrounding area in ward no 195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</si>
</sst>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1" fontId="2" fillId="0" borderId="1" xfId="0" applyNumberFormat="1" applyFont="1" applyBorder="1" applyAlignment="1">
      <alignment horizontal="left" vertical="center"/>
    </xf>
    <xf numFmtId="15" fontId="2" fillId="0" borderId="1" xfId="0" applyNumberFormat="1" applyFont="1" applyBorder="1" applyAlignment="1">
      <alignment horizontal="left" vertical="center"/>
    </xf>
    <xf numFmtId="15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2" fontId="2" fillId="0" borderId="1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65"/>
  <sheetViews>
    <sheetView tabSelected="1" workbookViewId="0">
      <pane ySplit="1" topLeftCell="A2" activePane="bottomLeft" state="frozen"/>
      <selection activeCell="H1" sqref="H1"/>
      <selection pane="bottomLeft" activeCell="A2" sqref="A2:XFD65"/>
    </sheetView>
  </sheetViews>
  <sheetFormatPr defaultRowHeight="12.75" x14ac:dyDescent="0.2"/>
  <cols>
    <col min="1" max="1" width="6" style="5" bestFit="1" customWidth="1"/>
    <col min="2" max="2" width="9.140625" style="5" bestFit="1" customWidth="1"/>
    <col min="3" max="3" width="9.5703125" style="5" customWidth="1"/>
    <col min="4" max="4" width="8.42578125" style="5" customWidth="1"/>
    <col min="5" max="5" width="16.28515625" style="6" bestFit="1" customWidth="1"/>
    <col min="6" max="6" width="10.7109375" style="6" bestFit="1" customWidth="1"/>
    <col min="7" max="8" width="9.140625" style="6" bestFit="1" customWidth="1"/>
    <col min="9" max="9" width="14.85546875" style="5" customWidth="1"/>
    <col min="10" max="10" width="14.140625" style="4" customWidth="1"/>
    <col min="11" max="11" width="22.85546875" style="5" bestFit="1" customWidth="1"/>
    <col min="12" max="12" width="7.140625" style="5" customWidth="1"/>
    <col min="13" max="13" width="9.7109375" style="5" customWidth="1"/>
    <col min="14" max="14" width="11.85546875" style="5" customWidth="1"/>
    <col min="15" max="15" width="9.42578125" style="5" customWidth="1"/>
    <col min="16" max="16" width="10.28515625" style="5" customWidth="1"/>
    <col min="17" max="17" width="10" style="5" customWidth="1"/>
    <col min="18" max="18" width="7.85546875" style="5" customWidth="1"/>
    <col min="19" max="20" width="9.5703125" style="5" bestFit="1" customWidth="1"/>
    <col min="21" max="21" width="12.7109375" style="7" customWidth="1"/>
    <col min="22" max="22" width="9" style="7" bestFit="1" customWidth="1"/>
    <col min="23" max="23" width="12.140625" style="7" customWidth="1"/>
    <col min="24" max="24" width="6.140625" style="5" customWidth="1"/>
    <col min="25" max="25" width="9.5703125" style="5" bestFit="1" customWidth="1"/>
    <col min="26" max="26" width="11.7109375" style="5" customWidth="1"/>
    <col min="27" max="27" width="18.42578125" style="4" customWidth="1"/>
    <col min="28" max="28" width="7.85546875" style="5" customWidth="1"/>
    <col min="29" max="29" width="16.85546875" style="4" customWidth="1"/>
    <col min="30" max="30" width="9.140625" style="5" customWidth="1"/>
    <col min="31" max="31" width="14.140625" style="4" customWidth="1"/>
    <col min="32" max="32" width="11.42578125" style="5" bestFit="1" customWidth="1"/>
    <col min="33" max="33" width="14" style="5" customWidth="1"/>
    <col min="34" max="16384" width="9.140625" style="4"/>
  </cols>
  <sheetData>
    <row r="1" spans="1:33" s="3" customFormat="1" ht="24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1" t="s">
        <v>18</v>
      </c>
      <c r="T1" s="1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1" t="s">
        <v>24</v>
      </c>
      <c r="Z1" s="2" t="s">
        <v>25</v>
      </c>
      <c r="AA1" s="1" t="s">
        <v>26</v>
      </c>
      <c r="AB1" s="1" t="s">
        <v>27</v>
      </c>
      <c r="AC1" s="1" t="s">
        <v>28</v>
      </c>
      <c r="AD1" s="2" t="s">
        <v>29</v>
      </c>
      <c r="AE1" s="1" t="s">
        <v>30</v>
      </c>
      <c r="AF1" s="2" t="s">
        <v>31</v>
      </c>
      <c r="AG1" s="2" t="s">
        <v>32</v>
      </c>
    </row>
    <row r="2" spans="1:33" x14ac:dyDescent="0.2">
      <c r="A2" s="8">
        <v>141</v>
      </c>
      <c r="B2" s="9" t="s">
        <v>33</v>
      </c>
      <c r="C2" s="10">
        <v>43194</v>
      </c>
      <c r="D2" s="11">
        <v>195</v>
      </c>
      <c r="E2" s="12" t="s">
        <v>34</v>
      </c>
      <c r="F2" s="12" t="s">
        <v>35</v>
      </c>
      <c r="G2" s="12" t="s">
        <v>36</v>
      </c>
      <c r="H2" s="12" t="s">
        <v>37</v>
      </c>
      <c r="I2" s="11" t="s">
        <v>38</v>
      </c>
      <c r="J2" s="12" t="s">
        <v>39</v>
      </c>
      <c r="K2" s="13" t="s">
        <v>40</v>
      </c>
      <c r="L2" s="11" t="str">
        <f>"000338"</f>
        <v>000338</v>
      </c>
      <c r="M2" s="10">
        <v>43143</v>
      </c>
      <c r="N2" s="11" t="str">
        <f>"000070"</f>
        <v>000070</v>
      </c>
      <c r="O2" s="10">
        <v>43155</v>
      </c>
      <c r="P2" s="11" t="str">
        <f>"000082"</f>
        <v>000082</v>
      </c>
      <c r="Q2" s="10">
        <v>43158</v>
      </c>
      <c r="R2" s="11">
        <v>17</v>
      </c>
      <c r="S2" s="11" t="str">
        <f>"000054"</f>
        <v>000054</v>
      </c>
      <c r="T2" s="10">
        <v>43191</v>
      </c>
      <c r="U2" s="14">
        <v>28.93</v>
      </c>
      <c r="V2" s="14">
        <v>1.3512999999999999</v>
      </c>
      <c r="W2" s="14">
        <v>27.578700000000001</v>
      </c>
      <c r="X2" s="11">
        <v>1</v>
      </c>
      <c r="Y2" s="10">
        <v>43194</v>
      </c>
      <c r="Z2" s="11">
        <v>9845222227</v>
      </c>
      <c r="AA2" s="12" t="s">
        <v>41</v>
      </c>
      <c r="AB2" s="11" t="s">
        <v>42</v>
      </c>
      <c r="AC2" s="12" t="s">
        <v>43</v>
      </c>
      <c r="AD2" s="11" t="s">
        <v>44</v>
      </c>
      <c r="AE2" s="12" t="s">
        <v>45</v>
      </c>
      <c r="AF2" s="14">
        <v>0.2893</v>
      </c>
      <c r="AG2" s="11" t="s">
        <v>46</v>
      </c>
    </row>
    <row r="3" spans="1:33" x14ac:dyDescent="0.2">
      <c r="A3" s="8">
        <v>142</v>
      </c>
      <c r="B3" s="9" t="s">
        <v>33</v>
      </c>
      <c r="C3" s="10">
        <v>43194</v>
      </c>
      <c r="D3" s="11">
        <v>195</v>
      </c>
      <c r="E3" s="12" t="s">
        <v>34</v>
      </c>
      <c r="F3" s="12" t="s">
        <v>35</v>
      </c>
      <c r="G3" s="12" t="s">
        <v>36</v>
      </c>
      <c r="H3" s="12" t="s">
        <v>37</v>
      </c>
      <c r="I3" s="11" t="s">
        <v>47</v>
      </c>
      <c r="J3" s="12" t="s">
        <v>48</v>
      </c>
      <c r="K3" s="13" t="s">
        <v>49</v>
      </c>
      <c r="L3" s="11" t="str">
        <f>"000333"</f>
        <v>000333</v>
      </c>
      <c r="M3" s="10">
        <v>43143</v>
      </c>
      <c r="N3" s="11" t="str">
        <f>"000072"</f>
        <v>000072</v>
      </c>
      <c r="O3" s="10">
        <v>43155</v>
      </c>
      <c r="P3" s="11" t="str">
        <f>"000083"</f>
        <v>000083</v>
      </c>
      <c r="Q3" s="10">
        <v>43158</v>
      </c>
      <c r="R3" s="11">
        <v>17</v>
      </c>
      <c r="S3" s="11" t="str">
        <f>"000055"</f>
        <v>000055</v>
      </c>
      <c r="T3" s="10">
        <v>43191</v>
      </c>
      <c r="U3" s="14">
        <v>23.004000000000001</v>
      </c>
      <c r="V3" s="14">
        <v>1.0815999999999999</v>
      </c>
      <c r="W3" s="14">
        <v>21.9224</v>
      </c>
      <c r="X3" s="11">
        <v>1</v>
      </c>
      <c r="Y3" s="10">
        <v>43194</v>
      </c>
      <c r="Z3" s="11">
        <v>9845222227</v>
      </c>
      <c r="AA3" s="12" t="s">
        <v>41</v>
      </c>
      <c r="AB3" s="11" t="s">
        <v>42</v>
      </c>
      <c r="AC3" s="12" t="s">
        <v>43</v>
      </c>
      <c r="AD3" s="11" t="s">
        <v>44</v>
      </c>
      <c r="AE3" s="12" t="s">
        <v>45</v>
      </c>
      <c r="AF3" s="14">
        <v>0.23004000000000002</v>
      </c>
      <c r="AG3" s="11" t="s">
        <v>46</v>
      </c>
    </row>
    <row r="4" spans="1:33" x14ac:dyDescent="0.2">
      <c r="A4" s="8">
        <v>143</v>
      </c>
      <c r="B4" s="9" t="s">
        <v>33</v>
      </c>
      <c r="C4" s="10">
        <v>43194</v>
      </c>
      <c r="D4" s="11">
        <v>195</v>
      </c>
      <c r="E4" s="12" t="s">
        <v>34</v>
      </c>
      <c r="F4" s="12" t="s">
        <v>35</v>
      </c>
      <c r="G4" s="12" t="s">
        <v>36</v>
      </c>
      <c r="H4" s="12" t="s">
        <v>37</v>
      </c>
      <c r="I4" s="11" t="s">
        <v>50</v>
      </c>
      <c r="J4" s="12" t="s">
        <v>51</v>
      </c>
      <c r="K4" s="13" t="s">
        <v>40</v>
      </c>
      <c r="L4" s="11" t="str">
        <f>"000335"</f>
        <v>000335</v>
      </c>
      <c r="M4" s="10">
        <v>43143</v>
      </c>
      <c r="N4" s="11" t="str">
        <f>"000075"</f>
        <v>000075</v>
      </c>
      <c r="O4" s="10">
        <v>43155</v>
      </c>
      <c r="P4" s="11" t="str">
        <f>"000087"</f>
        <v>000087</v>
      </c>
      <c r="Q4" s="10">
        <v>43158</v>
      </c>
      <c r="R4" s="11">
        <v>17</v>
      </c>
      <c r="S4" s="11" t="str">
        <f>"000057"</f>
        <v>000057</v>
      </c>
      <c r="T4" s="10">
        <v>43191</v>
      </c>
      <c r="U4" s="14">
        <v>23.344999999999999</v>
      </c>
      <c r="V4" s="14">
        <v>1.0952999999999999</v>
      </c>
      <c r="W4" s="14">
        <v>22.249700000000001</v>
      </c>
      <c r="X4" s="11">
        <v>1</v>
      </c>
      <c r="Y4" s="10">
        <v>43194</v>
      </c>
      <c r="Z4" s="11">
        <v>9845222227</v>
      </c>
      <c r="AA4" s="12" t="s">
        <v>41</v>
      </c>
      <c r="AB4" s="11" t="s">
        <v>42</v>
      </c>
      <c r="AC4" s="12" t="s">
        <v>43</v>
      </c>
      <c r="AD4" s="11" t="s">
        <v>44</v>
      </c>
      <c r="AE4" s="12" t="s">
        <v>45</v>
      </c>
      <c r="AF4" s="14">
        <v>0.23344999999999999</v>
      </c>
      <c r="AG4" s="11" t="s">
        <v>46</v>
      </c>
    </row>
    <row r="5" spans="1:33" x14ac:dyDescent="0.2">
      <c r="A5" s="8">
        <v>144</v>
      </c>
      <c r="B5" s="9" t="s">
        <v>33</v>
      </c>
      <c r="C5" s="10">
        <v>43194</v>
      </c>
      <c r="D5" s="11">
        <v>195</v>
      </c>
      <c r="E5" s="12" t="s">
        <v>34</v>
      </c>
      <c r="F5" s="12" t="s">
        <v>35</v>
      </c>
      <c r="G5" s="12" t="s">
        <v>36</v>
      </c>
      <c r="H5" s="12" t="s">
        <v>37</v>
      </c>
      <c r="I5" s="11" t="s">
        <v>52</v>
      </c>
      <c r="J5" s="12" t="s">
        <v>53</v>
      </c>
      <c r="K5" s="13" t="s">
        <v>40</v>
      </c>
      <c r="L5" s="11" t="str">
        <f>"000346"</f>
        <v>000346</v>
      </c>
      <c r="M5" s="10">
        <v>43143</v>
      </c>
      <c r="N5" s="11" t="str">
        <f>"000082"</f>
        <v>000082</v>
      </c>
      <c r="O5" s="10">
        <v>43158</v>
      </c>
      <c r="P5" s="11" t="str">
        <f>"000090"</f>
        <v>000090</v>
      </c>
      <c r="Q5" s="10">
        <v>43158</v>
      </c>
      <c r="R5" s="11">
        <v>17</v>
      </c>
      <c r="S5" s="11" t="str">
        <f>"000060"</f>
        <v>000060</v>
      </c>
      <c r="T5" s="10">
        <v>43191</v>
      </c>
      <c r="U5" s="14">
        <v>11.0992</v>
      </c>
      <c r="V5" s="14">
        <v>0.47410000000000002</v>
      </c>
      <c r="W5" s="14">
        <v>10.6251</v>
      </c>
      <c r="X5" s="11">
        <v>1</v>
      </c>
      <c r="Y5" s="10">
        <v>43194</v>
      </c>
      <c r="Z5" s="11">
        <v>9845222227</v>
      </c>
      <c r="AA5" s="12" t="s">
        <v>41</v>
      </c>
      <c r="AB5" s="11" t="s">
        <v>42</v>
      </c>
      <c r="AC5" s="12" t="s">
        <v>43</v>
      </c>
      <c r="AD5" s="11" t="s">
        <v>44</v>
      </c>
      <c r="AE5" s="12" t="s">
        <v>45</v>
      </c>
      <c r="AF5" s="14">
        <v>0.11099199999999999</v>
      </c>
      <c r="AG5" s="11" t="s">
        <v>46</v>
      </c>
    </row>
    <row r="6" spans="1:33" x14ac:dyDescent="0.2">
      <c r="A6" s="8">
        <v>145</v>
      </c>
      <c r="B6" s="9" t="s">
        <v>33</v>
      </c>
      <c r="C6" s="10">
        <v>43194</v>
      </c>
      <c r="D6" s="11">
        <v>195</v>
      </c>
      <c r="E6" s="12" t="s">
        <v>34</v>
      </c>
      <c r="F6" s="12" t="s">
        <v>35</v>
      </c>
      <c r="G6" s="12" t="s">
        <v>36</v>
      </c>
      <c r="H6" s="12" t="s">
        <v>37</v>
      </c>
      <c r="I6" s="11" t="s">
        <v>54</v>
      </c>
      <c r="J6" s="12" t="s">
        <v>55</v>
      </c>
      <c r="K6" s="13" t="s">
        <v>40</v>
      </c>
      <c r="L6" s="11" t="str">
        <f>"000340"</f>
        <v>000340</v>
      </c>
      <c r="M6" s="10">
        <v>43143</v>
      </c>
      <c r="N6" s="11" t="str">
        <f>"000081"</f>
        <v>000081</v>
      </c>
      <c r="O6" s="10">
        <v>43157</v>
      </c>
      <c r="P6" s="11" t="str">
        <f>"000091"</f>
        <v>000091</v>
      </c>
      <c r="Q6" s="10">
        <v>43158</v>
      </c>
      <c r="R6" s="11">
        <v>17</v>
      </c>
      <c r="S6" s="11" t="str">
        <f>"000061"</f>
        <v>000061</v>
      </c>
      <c r="T6" s="10">
        <v>43191</v>
      </c>
      <c r="U6" s="14">
        <v>27.893999999999998</v>
      </c>
      <c r="V6" s="14">
        <v>1.2949999999999999</v>
      </c>
      <c r="W6" s="14">
        <v>26.599</v>
      </c>
      <c r="X6" s="11">
        <v>1</v>
      </c>
      <c r="Y6" s="10">
        <v>43194</v>
      </c>
      <c r="Z6" s="11">
        <v>9845222227</v>
      </c>
      <c r="AA6" s="12" t="s">
        <v>41</v>
      </c>
      <c r="AB6" s="11" t="s">
        <v>42</v>
      </c>
      <c r="AC6" s="12" t="s">
        <v>43</v>
      </c>
      <c r="AD6" s="11" t="s">
        <v>44</v>
      </c>
      <c r="AE6" s="12" t="s">
        <v>45</v>
      </c>
      <c r="AF6" s="14">
        <v>0.27893999999999997</v>
      </c>
      <c r="AG6" s="11" t="s">
        <v>46</v>
      </c>
    </row>
    <row r="7" spans="1:33" x14ac:dyDescent="0.2">
      <c r="A7" s="8">
        <v>146</v>
      </c>
      <c r="B7" s="9" t="s">
        <v>33</v>
      </c>
      <c r="C7" s="10">
        <v>43194</v>
      </c>
      <c r="D7" s="11">
        <v>195</v>
      </c>
      <c r="E7" s="12" t="s">
        <v>34</v>
      </c>
      <c r="F7" s="12" t="s">
        <v>35</v>
      </c>
      <c r="G7" s="12" t="s">
        <v>36</v>
      </c>
      <c r="H7" s="12" t="s">
        <v>37</v>
      </c>
      <c r="I7" s="11" t="s">
        <v>56</v>
      </c>
      <c r="J7" s="12" t="s">
        <v>57</v>
      </c>
      <c r="K7" s="13" t="s">
        <v>40</v>
      </c>
      <c r="L7" s="11" t="str">
        <f>"000343"</f>
        <v>000343</v>
      </c>
      <c r="M7" s="10">
        <v>43143</v>
      </c>
      <c r="N7" s="11" t="str">
        <f>"000079"</f>
        <v>000079</v>
      </c>
      <c r="O7" s="10">
        <v>43156</v>
      </c>
      <c r="P7" s="11" t="str">
        <f>"000093"</f>
        <v>000093</v>
      </c>
      <c r="Q7" s="10">
        <v>43159</v>
      </c>
      <c r="R7" s="11">
        <v>17</v>
      </c>
      <c r="S7" s="11" t="str">
        <f>"000063"</f>
        <v>000063</v>
      </c>
      <c r="T7" s="10">
        <v>43191</v>
      </c>
      <c r="U7" s="14">
        <v>6.24</v>
      </c>
      <c r="V7" s="14">
        <v>0.29599999999999999</v>
      </c>
      <c r="W7" s="14">
        <v>5.944</v>
      </c>
      <c r="X7" s="11">
        <v>1</v>
      </c>
      <c r="Y7" s="10">
        <v>43194</v>
      </c>
      <c r="Z7" s="11">
        <v>9845222227</v>
      </c>
      <c r="AA7" s="12" t="s">
        <v>41</v>
      </c>
      <c r="AB7" s="11" t="s">
        <v>42</v>
      </c>
      <c r="AC7" s="12" t="s">
        <v>43</v>
      </c>
      <c r="AD7" s="11" t="s">
        <v>44</v>
      </c>
      <c r="AE7" s="12" t="s">
        <v>45</v>
      </c>
      <c r="AF7" s="14">
        <v>6.2400000000000004E-2</v>
      </c>
      <c r="AG7" s="11" t="s">
        <v>46</v>
      </c>
    </row>
    <row r="8" spans="1:33" x14ac:dyDescent="0.2">
      <c r="A8" s="8">
        <v>147</v>
      </c>
      <c r="B8" s="9" t="s">
        <v>33</v>
      </c>
      <c r="C8" s="10">
        <v>43194</v>
      </c>
      <c r="D8" s="11">
        <v>195</v>
      </c>
      <c r="E8" s="12" t="s">
        <v>34</v>
      </c>
      <c r="F8" s="12" t="s">
        <v>35</v>
      </c>
      <c r="G8" s="12" t="s">
        <v>36</v>
      </c>
      <c r="H8" s="12" t="s">
        <v>37</v>
      </c>
      <c r="I8" s="11" t="s">
        <v>58</v>
      </c>
      <c r="J8" s="12" t="s">
        <v>59</v>
      </c>
      <c r="K8" s="13" t="s">
        <v>40</v>
      </c>
      <c r="L8" s="11" t="str">
        <f>"000336"</f>
        <v>000336</v>
      </c>
      <c r="M8" s="10">
        <v>43143</v>
      </c>
      <c r="N8" s="11" t="str">
        <f>"000074"</f>
        <v>000074</v>
      </c>
      <c r="O8" s="10">
        <v>43155</v>
      </c>
      <c r="P8" s="11" t="str">
        <f>"000094"</f>
        <v>000094</v>
      </c>
      <c r="Q8" s="10">
        <v>43159</v>
      </c>
      <c r="R8" s="11">
        <v>17</v>
      </c>
      <c r="S8" s="11" t="str">
        <f>"000064"</f>
        <v>000064</v>
      </c>
      <c r="T8" s="10">
        <v>43191</v>
      </c>
      <c r="U8" s="14">
        <v>27.129000000000001</v>
      </c>
      <c r="V8" s="14">
        <v>1.2709999999999999</v>
      </c>
      <c r="W8" s="14">
        <v>25.858000000000001</v>
      </c>
      <c r="X8" s="11">
        <v>1</v>
      </c>
      <c r="Y8" s="10">
        <v>43194</v>
      </c>
      <c r="Z8" s="11">
        <v>9845222227</v>
      </c>
      <c r="AA8" s="12" t="s">
        <v>41</v>
      </c>
      <c r="AB8" s="11" t="s">
        <v>42</v>
      </c>
      <c r="AC8" s="12" t="s">
        <v>43</v>
      </c>
      <c r="AD8" s="11" t="s">
        <v>44</v>
      </c>
      <c r="AE8" s="12" t="s">
        <v>45</v>
      </c>
      <c r="AF8" s="14">
        <v>0.27129000000000003</v>
      </c>
      <c r="AG8" s="11" t="s">
        <v>46</v>
      </c>
    </row>
    <row r="9" spans="1:33" x14ac:dyDescent="0.2">
      <c r="A9" s="8">
        <v>148</v>
      </c>
      <c r="B9" s="9" t="s">
        <v>33</v>
      </c>
      <c r="C9" s="10">
        <v>43194</v>
      </c>
      <c r="D9" s="11">
        <v>195</v>
      </c>
      <c r="E9" s="12" t="s">
        <v>34</v>
      </c>
      <c r="F9" s="12" t="s">
        <v>35</v>
      </c>
      <c r="G9" s="12" t="s">
        <v>36</v>
      </c>
      <c r="H9" s="12" t="s">
        <v>37</v>
      </c>
      <c r="I9" s="11" t="s">
        <v>60</v>
      </c>
      <c r="J9" s="12" t="s">
        <v>61</v>
      </c>
      <c r="K9" s="13" t="s">
        <v>40</v>
      </c>
      <c r="L9" s="11" t="str">
        <f>"000337"</f>
        <v>000337</v>
      </c>
      <c r="M9" s="10">
        <v>43143</v>
      </c>
      <c r="N9" s="11" t="str">
        <f>"000076"</f>
        <v>000076</v>
      </c>
      <c r="O9" s="10">
        <v>43156</v>
      </c>
      <c r="P9" s="11" t="str">
        <f>"000095"</f>
        <v>000095</v>
      </c>
      <c r="Q9" s="10">
        <v>43159</v>
      </c>
      <c r="R9" s="11">
        <v>17</v>
      </c>
      <c r="S9" s="11" t="str">
        <f>"000065"</f>
        <v>000065</v>
      </c>
      <c r="T9" s="10">
        <v>43191</v>
      </c>
      <c r="U9" s="14">
        <v>20.75</v>
      </c>
      <c r="V9" s="14">
        <v>1.0133000000000001</v>
      </c>
      <c r="W9" s="14">
        <v>19.736699999999999</v>
      </c>
      <c r="X9" s="11">
        <v>1</v>
      </c>
      <c r="Y9" s="10">
        <v>43194</v>
      </c>
      <c r="Z9" s="11">
        <v>9845222227</v>
      </c>
      <c r="AA9" s="12" t="s">
        <v>41</v>
      </c>
      <c r="AB9" s="11" t="s">
        <v>42</v>
      </c>
      <c r="AC9" s="12" t="s">
        <v>43</v>
      </c>
      <c r="AD9" s="11" t="s">
        <v>44</v>
      </c>
      <c r="AE9" s="12" t="s">
        <v>45</v>
      </c>
      <c r="AF9" s="14">
        <v>0.20749999999999999</v>
      </c>
      <c r="AG9" s="11" t="s">
        <v>46</v>
      </c>
    </row>
    <row r="10" spans="1:33" x14ac:dyDescent="0.2">
      <c r="A10" s="8">
        <v>149</v>
      </c>
      <c r="B10" s="9" t="s">
        <v>33</v>
      </c>
      <c r="C10" s="10">
        <v>43194</v>
      </c>
      <c r="D10" s="11">
        <v>195</v>
      </c>
      <c r="E10" s="12" t="s">
        <v>34</v>
      </c>
      <c r="F10" s="12" t="s">
        <v>35</v>
      </c>
      <c r="G10" s="12" t="s">
        <v>36</v>
      </c>
      <c r="H10" s="12" t="s">
        <v>37</v>
      </c>
      <c r="I10" s="11" t="s">
        <v>62</v>
      </c>
      <c r="J10" s="12" t="s">
        <v>63</v>
      </c>
      <c r="K10" s="13" t="s">
        <v>40</v>
      </c>
      <c r="L10" s="11" t="str">
        <f>"000334"</f>
        <v>000334</v>
      </c>
      <c r="M10" s="10">
        <v>43143</v>
      </c>
      <c r="N10" s="11" t="str">
        <f>"000077"</f>
        <v>000077</v>
      </c>
      <c r="O10" s="10">
        <v>43156</v>
      </c>
      <c r="P10" s="11" t="str">
        <f>"000096"</f>
        <v>000096</v>
      </c>
      <c r="Q10" s="10">
        <v>43159</v>
      </c>
      <c r="R10" s="11">
        <v>17</v>
      </c>
      <c r="S10" s="11" t="str">
        <f>"000066"</f>
        <v>000066</v>
      </c>
      <c r="T10" s="10">
        <v>43191</v>
      </c>
      <c r="U10" s="14">
        <v>30.64</v>
      </c>
      <c r="V10" s="14">
        <v>1.4179999999999999</v>
      </c>
      <c r="W10" s="14">
        <v>29.222000000000001</v>
      </c>
      <c r="X10" s="11">
        <v>1</v>
      </c>
      <c r="Y10" s="10">
        <v>43194</v>
      </c>
      <c r="Z10" s="11">
        <v>9845222227</v>
      </c>
      <c r="AA10" s="12" t="s">
        <v>41</v>
      </c>
      <c r="AB10" s="11" t="s">
        <v>42</v>
      </c>
      <c r="AC10" s="12" t="s">
        <v>43</v>
      </c>
      <c r="AD10" s="11" t="s">
        <v>44</v>
      </c>
      <c r="AE10" s="12" t="s">
        <v>45</v>
      </c>
      <c r="AF10" s="14">
        <v>0.30640000000000001</v>
      </c>
      <c r="AG10" s="11" t="s">
        <v>46</v>
      </c>
    </row>
    <row r="11" spans="1:33" x14ac:dyDescent="0.2">
      <c r="A11" s="8">
        <v>150</v>
      </c>
      <c r="B11" s="9" t="s">
        <v>33</v>
      </c>
      <c r="C11" s="10">
        <v>43194</v>
      </c>
      <c r="D11" s="11">
        <v>195</v>
      </c>
      <c r="E11" s="12" t="s">
        <v>34</v>
      </c>
      <c r="F11" s="12" t="s">
        <v>35</v>
      </c>
      <c r="G11" s="12" t="s">
        <v>36</v>
      </c>
      <c r="H11" s="12" t="s">
        <v>37</v>
      </c>
      <c r="I11" s="11" t="s">
        <v>64</v>
      </c>
      <c r="J11" s="12" t="s">
        <v>65</v>
      </c>
      <c r="K11" s="13" t="s">
        <v>40</v>
      </c>
      <c r="L11" s="11" t="str">
        <f>"000341"</f>
        <v>000341</v>
      </c>
      <c r="M11" s="10">
        <v>43143</v>
      </c>
      <c r="N11" s="11" t="str">
        <f>"000078"</f>
        <v>000078</v>
      </c>
      <c r="O11" s="10">
        <v>43156</v>
      </c>
      <c r="P11" s="11" t="str">
        <f>"000097"</f>
        <v>000097</v>
      </c>
      <c r="Q11" s="10">
        <v>43159</v>
      </c>
      <c r="R11" s="11">
        <v>17</v>
      </c>
      <c r="S11" s="11" t="str">
        <f>"000067"</f>
        <v>000067</v>
      </c>
      <c r="T11" s="10">
        <v>43191</v>
      </c>
      <c r="U11" s="14">
        <v>24.947399999999998</v>
      </c>
      <c r="V11" s="14">
        <v>1.17</v>
      </c>
      <c r="W11" s="14">
        <v>23.7774</v>
      </c>
      <c r="X11" s="11">
        <v>1</v>
      </c>
      <c r="Y11" s="10">
        <v>43194</v>
      </c>
      <c r="Z11" s="11">
        <v>9845222227</v>
      </c>
      <c r="AA11" s="12" t="s">
        <v>41</v>
      </c>
      <c r="AB11" s="11" t="s">
        <v>42</v>
      </c>
      <c r="AC11" s="12" t="s">
        <v>43</v>
      </c>
      <c r="AD11" s="11" t="s">
        <v>44</v>
      </c>
      <c r="AE11" s="12" t="s">
        <v>45</v>
      </c>
      <c r="AF11" s="14">
        <v>0.24947399999999997</v>
      </c>
      <c r="AG11" s="11" t="s">
        <v>46</v>
      </c>
    </row>
    <row r="12" spans="1:33" x14ac:dyDescent="0.2">
      <c r="A12" s="8">
        <v>151</v>
      </c>
      <c r="B12" s="9" t="s">
        <v>33</v>
      </c>
      <c r="C12" s="10">
        <v>43194</v>
      </c>
      <c r="D12" s="11">
        <v>195</v>
      </c>
      <c r="E12" s="12" t="s">
        <v>34</v>
      </c>
      <c r="F12" s="12" t="s">
        <v>35</v>
      </c>
      <c r="G12" s="12" t="s">
        <v>36</v>
      </c>
      <c r="H12" s="12" t="s">
        <v>37</v>
      </c>
      <c r="I12" s="11" t="s">
        <v>66</v>
      </c>
      <c r="J12" s="12" t="s">
        <v>67</v>
      </c>
      <c r="K12" s="13" t="s">
        <v>40</v>
      </c>
      <c r="L12" s="11" t="str">
        <f>"000347"</f>
        <v>000347</v>
      </c>
      <c r="M12" s="10">
        <v>43143</v>
      </c>
      <c r="N12" s="11" t="str">
        <f>"000083"</f>
        <v>000083</v>
      </c>
      <c r="O12" s="10">
        <v>43158</v>
      </c>
      <c r="P12" s="11" t="str">
        <f>"000114"</f>
        <v>000114</v>
      </c>
      <c r="Q12" s="10">
        <v>43159</v>
      </c>
      <c r="R12" s="11">
        <v>17</v>
      </c>
      <c r="S12" s="11" t="str">
        <f>"000070"</f>
        <v>000070</v>
      </c>
      <c r="T12" s="10">
        <v>43191</v>
      </c>
      <c r="U12" s="14">
        <v>27.843</v>
      </c>
      <c r="V12" s="14">
        <v>1.2949999999999999</v>
      </c>
      <c r="W12" s="14">
        <v>26.547999999999998</v>
      </c>
      <c r="X12" s="11">
        <v>1</v>
      </c>
      <c r="Y12" s="10">
        <v>43194</v>
      </c>
      <c r="Z12" s="11">
        <v>9845222227</v>
      </c>
      <c r="AA12" s="12" t="s">
        <v>41</v>
      </c>
      <c r="AB12" s="11" t="s">
        <v>42</v>
      </c>
      <c r="AC12" s="12" t="s">
        <v>43</v>
      </c>
      <c r="AD12" s="11" t="s">
        <v>44</v>
      </c>
      <c r="AE12" s="12" t="s">
        <v>45</v>
      </c>
      <c r="AF12" s="14">
        <v>0.27843000000000001</v>
      </c>
      <c r="AG12" s="11" t="s">
        <v>46</v>
      </c>
    </row>
    <row r="13" spans="1:33" x14ac:dyDescent="0.2">
      <c r="A13" s="8">
        <v>152</v>
      </c>
      <c r="B13" s="9" t="s">
        <v>33</v>
      </c>
      <c r="C13" s="10">
        <v>43194</v>
      </c>
      <c r="D13" s="11">
        <v>195</v>
      </c>
      <c r="E13" s="12" t="s">
        <v>34</v>
      </c>
      <c r="F13" s="12" t="s">
        <v>35</v>
      </c>
      <c r="G13" s="12" t="s">
        <v>36</v>
      </c>
      <c r="H13" s="12" t="s">
        <v>37</v>
      </c>
      <c r="I13" s="11" t="s">
        <v>68</v>
      </c>
      <c r="J13" s="12" t="s">
        <v>69</v>
      </c>
      <c r="K13" s="13" t="s">
        <v>40</v>
      </c>
      <c r="L13" s="11" t="str">
        <f>"000332"</f>
        <v>000332</v>
      </c>
      <c r="M13" s="10">
        <v>43143</v>
      </c>
      <c r="N13" s="11" t="str">
        <f>"000071"</f>
        <v>000071</v>
      </c>
      <c r="O13" s="10">
        <v>43155</v>
      </c>
      <c r="P13" s="11" t="str">
        <f>"000117"</f>
        <v>000117</v>
      </c>
      <c r="Q13" s="10">
        <v>43161</v>
      </c>
      <c r="R13" s="11">
        <v>17</v>
      </c>
      <c r="S13" s="11" t="str">
        <f>"000086"</f>
        <v>000086</v>
      </c>
      <c r="T13" s="10">
        <v>43191</v>
      </c>
      <c r="U13" s="14">
        <v>23.42</v>
      </c>
      <c r="V13" s="14">
        <v>1.1016999999999999</v>
      </c>
      <c r="W13" s="14">
        <v>22.318300000000001</v>
      </c>
      <c r="X13" s="11">
        <v>1</v>
      </c>
      <c r="Y13" s="10">
        <v>43194</v>
      </c>
      <c r="Z13" s="11">
        <v>9845222227</v>
      </c>
      <c r="AA13" s="12" t="s">
        <v>41</v>
      </c>
      <c r="AB13" s="11" t="s">
        <v>42</v>
      </c>
      <c r="AC13" s="12" t="s">
        <v>43</v>
      </c>
      <c r="AD13" s="11" t="s">
        <v>44</v>
      </c>
      <c r="AE13" s="12" t="s">
        <v>45</v>
      </c>
      <c r="AF13" s="14">
        <v>0.23420000000000002</v>
      </c>
      <c r="AG13" s="11" t="s">
        <v>46</v>
      </c>
    </row>
    <row r="14" spans="1:33" x14ac:dyDescent="0.2">
      <c r="A14" s="8">
        <v>153</v>
      </c>
      <c r="B14" s="9" t="s">
        <v>33</v>
      </c>
      <c r="C14" s="10">
        <v>43194</v>
      </c>
      <c r="D14" s="11">
        <v>195</v>
      </c>
      <c r="E14" s="12" t="s">
        <v>34</v>
      </c>
      <c r="F14" s="12" t="s">
        <v>35</v>
      </c>
      <c r="G14" s="12" t="s">
        <v>36</v>
      </c>
      <c r="H14" s="12" t="s">
        <v>37</v>
      </c>
      <c r="I14" s="11" t="s">
        <v>70</v>
      </c>
      <c r="J14" s="12" t="s">
        <v>71</v>
      </c>
      <c r="K14" s="13" t="s">
        <v>40</v>
      </c>
      <c r="L14" s="11" t="str">
        <f>"000344"</f>
        <v>000344</v>
      </c>
      <c r="M14" s="10">
        <v>43143</v>
      </c>
      <c r="N14" s="11" t="str">
        <f>"000084"</f>
        <v>000084</v>
      </c>
      <c r="O14" s="10">
        <v>43158</v>
      </c>
      <c r="P14" s="11" t="str">
        <f>"000119"</f>
        <v>000119</v>
      </c>
      <c r="Q14" s="10">
        <v>43161</v>
      </c>
      <c r="R14" s="11">
        <v>17</v>
      </c>
      <c r="S14" s="11" t="str">
        <f>"000089"</f>
        <v>000089</v>
      </c>
      <c r="T14" s="10">
        <v>43191</v>
      </c>
      <c r="U14" s="14">
        <v>6.92</v>
      </c>
      <c r="V14" s="14">
        <v>0.30370000000000003</v>
      </c>
      <c r="W14" s="14">
        <v>6.6162999999999998</v>
      </c>
      <c r="X14" s="11">
        <v>1</v>
      </c>
      <c r="Y14" s="10">
        <v>43194</v>
      </c>
      <c r="Z14" s="11">
        <v>9845222227</v>
      </c>
      <c r="AA14" s="12" t="s">
        <v>41</v>
      </c>
      <c r="AB14" s="11" t="s">
        <v>42</v>
      </c>
      <c r="AC14" s="12" t="s">
        <v>43</v>
      </c>
      <c r="AD14" s="11" t="s">
        <v>44</v>
      </c>
      <c r="AE14" s="12" t="s">
        <v>45</v>
      </c>
      <c r="AF14" s="14">
        <v>6.9199999999999998E-2</v>
      </c>
      <c r="AG14" s="11" t="s">
        <v>46</v>
      </c>
    </row>
    <row r="15" spans="1:33" x14ac:dyDescent="0.2">
      <c r="A15" s="8">
        <v>154</v>
      </c>
      <c r="B15" s="9" t="s">
        <v>33</v>
      </c>
      <c r="C15" s="10">
        <v>43194</v>
      </c>
      <c r="D15" s="11">
        <v>195</v>
      </c>
      <c r="E15" s="12" t="s">
        <v>34</v>
      </c>
      <c r="F15" s="12" t="s">
        <v>35</v>
      </c>
      <c r="G15" s="12" t="s">
        <v>36</v>
      </c>
      <c r="H15" s="12" t="s">
        <v>37</v>
      </c>
      <c r="I15" s="11" t="s">
        <v>72</v>
      </c>
      <c r="J15" s="12" t="s">
        <v>73</v>
      </c>
      <c r="K15" s="13" t="s">
        <v>40</v>
      </c>
      <c r="L15" s="11" t="str">
        <f>"000339"</f>
        <v>000339</v>
      </c>
      <c r="M15" s="10">
        <v>43143</v>
      </c>
      <c r="N15" s="11" t="str">
        <f>"000073"</f>
        <v>000073</v>
      </c>
      <c r="O15" s="10">
        <v>43155</v>
      </c>
      <c r="P15" s="11" t="str">
        <f>"000129"</f>
        <v>000129</v>
      </c>
      <c r="Q15" s="10">
        <v>43164</v>
      </c>
      <c r="R15" s="11">
        <v>17</v>
      </c>
      <c r="S15" s="11" t="str">
        <f>"000094"</f>
        <v>000094</v>
      </c>
      <c r="T15" s="10">
        <v>43191</v>
      </c>
      <c r="U15" s="14">
        <v>23.097999999999999</v>
      </c>
      <c r="V15" s="14">
        <v>4.0880999999999998</v>
      </c>
      <c r="W15" s="14">
        <v>19.009899999999998</v>
      </c>
      <c r="X15" s="11">
        <v>1</v>
      </c>
      <c r="Y15" s="10">
        <v>43194</v>
      </c>
      <c r="Z15" s="11">
        <v>9845222227</v>
      </c>
      <c r="AA15" s="12" t="s">
        <v>41</v>
      </c>
      <c r="AB15" s="11" t="s">
        <v>42</v>
      </c>
      <c r="AC15" s="12" t="s">
        <v>43</v>
      </c>
      <c r="AD15" s="11" t="s">
        <v>44</v>
      </c>
      <c r="AE15" s="12" t="s">
        <v>45</v>
      </c>
      <c r="AF15" s="14">
        <v>0.23097999999999999</v>
      </c>
      <c r="AG15" s="11" t="s">
        <v>46</v>
      </c>
    </row>
    <row r="16" spans="1:33" x14ac:dyDescent="0.2">
      <c r="A16" s="8">
        <v>230</v>
      </c>
      <c r="B16" s="9" t="s">
        <v>33</v>
      </c>
      <c r="C16" s="10">
        <v>43195</v>
      </c>
      <c r="D16" s="11">
        <v>195</v>
      </c>
      <c r="E16" s="12" t="s">
        <v>34</v>
      </c>
      <c r="F16" s="12" t="s">
        <v>35</v>
      </c>
      <c r="G16" s="12" t="s">
        <v>36</v>
      </c>
      <c r="H16" s="12" t="s">
        <v>37</v>
      </c>
      <c r="I16" s="11" t="s">
        <v>74</v>
      </c>
      <c r="J16" s="12" t="s">
        <v>75</v>
      </c>
      <c r="K16" s="13" t="s">
        <v>76</v>
      </c>
      <c r="L16" s="11" t="str">
        <f>"000060"</f>
        <v>000060</v>
      </c>
      <c r="M16" s="10">
        <v>43019</v>
      </c>
      <c r="N16" s="11" t="str">
        <f>"000087"</f>
        <v>000087</v>
      </c>
      <c r="O16" s="10">
        <v>43160</v>
      </c>
      <c r="P16" s="11" t="str">
        <f>"000149"</f>
        <v>000149</v>
      </c>
      <c r="Q16" s="10">
        <v>43174</v>
      </c>
      <c r="R16" s="11">
        <v>17</v>
      </c>
      <c r="S16" s="11" t="str">
        <f>"000278"</f>
        <v>000278</v>
      </c>
      <c r="T16" s="10">
        <v>43195</v>
      </c>
      <c r="U16" s="14">
        <v>11.0565</v>
      </c>
      <c r="V16" s="14">
        <v>0.91769999999999996</v>
      </c>
      <c r="W16" s="14">
        <v>10.1388</v>
      </c>
      <c r="X16" s="11">
        <v>5</v>
      </c>
      <c r="Y16" s="10">
        <v>43195</v>
      </c>
      <c r="Z16" s="11">
        <v>9448064004</v>
      </c>
      <c r="AA16" s="12" t="s">
        <v>77</v>
      </c>
      <c r="AB16" s="11" t="s">
        <v>78</v>
      </c>
      <c r="AC16" s="12" t="s">
        <v>79</v>
      </c>
      <c r="AD16" s="11" t="s">
        <v>44</v>
      </c>
      <c r="AE16" s="12" t="s">
        <v>45</v>
      </c>
      <c r="AF16" s="14">
        <v>0.110565</v>
      </c>
      <c r="AG16" s="11" t="s">
        <v>46</v>
      </c>
    </row>
    <row r="17" spans="1:33" x14ac:dyDescent="0.2">
      <c r="A17" s="8">
        <v>593</v>
      </c>
      <c r="B17" s="9" t="s">
        <v>33</v>
      </c>
      <c r="C17" s="10">
        <v>43213</v>
      </c>
      <c r="D17" s="11">
        <v>195</v>
      </c>
      <c r="E17" s="12" t="s">
        <v>34</v>
      </c>
      <c r="F17" s="12" t="s">
        <v>35</v>
      </c>
      <c r="G17" s="12" t="s">
        <v>36</v>
      </c>
      <c r="H17" s="12" t="s">
        <v>37</v>
      </c>
      <c r="I17" s="11" t="s">
        <v>80</v>
      </c>
      <c r="J17" s="12" t="s">
        <v>81</v>
      </c>
      <c r="K17" s="13" t="s">
        <v>40</v>
      </c>
      <c r="L17" s="11" t="str">
        <f>"000156"</f>
        <v>000156</v>
      </c>
      <c r="M17" s="10">
        <v>42760</v>
      </c>
      <c r="N17" s="11" t="str">
        <f>"000045"</f>
        <v>000045</v>
      </c>
      <c r="O17" s="10">
        <v>42886</v>
      </c>
      <c r="P17" s="11" t="str">
        <f>"000075"</f>
        <v>000075</v>
      </c>
      <c r="Q17" s="10">
        <v>42886</v>
      </c>
      <c r="R17" s="11">
        <v>16</v>
      </c>
      <c r="S17" s="11" t="str">
        <f>"000547"</f>
        <v>000547</v>
      </c>
      <c r="T17" s="10">
        <v>43203</v>
      </c>
      <c r="U17" s="14">
        <v>2.2454000000000001</v>
      </c>
      <c r="V17" s="14">
        <v>0.2964</v>
      </c>
      <c r="W17" s="14">
        <v>1.9490000000000001</v>
      </c>
      <c r="X17" s="11">
        <v>21</v>
      </c>
      <c r="Y17" s="10">
        <v>43213</v>
      </c>
      <c r="Z17" s="11">
        <v>9845183166</v>
      </c>
      <c r="AA17" s="12" t="s">
        <v>82</v>
      </c>
      <c r="AB17" s="11" t="s">
        <v>83</v>
      </c>
      <c r="AC17" s="12" t="s">
        <v>84</v>
      </c>
      <c r="AD17" s="11" t="s">
        <v>44</v>
      </c>
      <c r="AE17" s="12" t="s">
        <v>45</v>
      </c>
      <c r="AF17" s="14">
        <v>2.2454000000000002E-2</v>
      </c>
      <c r="AG17" s="11" t="s">
        <v>46</v>
      </c>
    </row>
    <row r="18" spans="1:33" x14ac:dyDescent="0.2">
      <c r="A18" s="8">
        <v>645</v>
      </c>
      <c r="B18" s="9" t="s">
        <v>33</v>
      </c>
      <c r="C18" s="10">
        <v>43214</v>
      </c>
      <c r="D18" s="11">
        <v>195</v>
      </c>
      <c r="E18" s="12" t="s">
        <v>34</v>
      </c>
      <c r="F18" s="12" t="s">
        <v>35</v>
      </c>
      <c r="G18" s="12" t="s">
        <v>36</v>
      </c>
      <c r="H18" s="12" t="s">
        <v>37</v>
      </c>
      <c r="I18" s="11" t="s">
        <v>85</v>
      </c>
      <c r="J18" s="12" t="s">
        <v>86</v>
      </c>
      <c r="K18" s="13" t="s">
        <v>49</v>
      </c>
      <c r="L18" s="11" t="str">
        <f>"000214"</f>
        <v>000214</v>
      </c>
      <c r="M18" s="10">
        <v>42405</v>
      </c>
      <c r="N18" s="11" t="str">
        <f>"000036"</f>
        <v>000036</v>
      </c>
      <c r="O18" s="10">
        <v>42532</v>
      </c>
      <c r="P18" s="11" t="str">
        <f>"000062"</f>
        <v>000062</v>
      </c>
      <c r="Q18" s="10">
        <v>42581</v>
      </c>
      <c r="R18" s="11">
        <v>16</v>
      </c>
      <c r="S18" s="11" t="str">
        <f>"000526"</f>
        <v>000526</v>
      </c>
      <c r="T18" s="10">
        <v>43203</v>
      </c>
      <c r="U18" s="14">
        <v>19.856999999999999</v>
      </c>
      <c r="V18" s="14">
        <v>2.7637999999999998</v>
      </c>
      <c r="W18" s="14">
        <v>17.0932</v>
      </c>
      <c r="X18" s="11">
        <v>23</v>
      </c>
      <c r="Y18" s="10">
        <v>43214</v>
      </c>
      <c r="Z18" s="11">
        <v>9916491607</v>
      </c>
      <c r="AA18" s="12" t="s">
        <v>87</v>
      </c>
      <c r="AB18" s="11" t="s">
        <v>88</v>
      </c>
      <c r="AC18" s="12" t="s">
        <v>89</v>
      </c>
      <c r="AD18" s="11" t="s">
        <v>44</v>
      </c>
      <c r="AE18" s="12" t="s">
        <v>45</v>
      </c>
      <c r="AF18" s="14">
        <v>0.19857</v>
      </c>
      <c r="AG18" s="11" t="s">
        <v>46</v>
      </c>
    </row>
    <row r="19" spans="1:33" x14ac:dyDescent="0.2">
      <c r="A19" s="8">
        <v>682</v>
      </c>
      <c r="B19" s="9" t="s">
        <v>33</v>
      </c>
      <c r="C19" s="10">
        <v>43215</v>
      </c>
      <c r="D19" s="11">
        <v>195</v>
      </c>
      <c r="E19" s="12" t="s">
        <v>34</v>
      </c>
      <c r="F19" s="12" t="s">
        <v>35</v>
      </c>
      <c r="G19" s="12" t="s">
        <v>36</v>
      </c>
      <c r="H19" s="12" t="s">
        <v>37</v>
      </c>
      <c r="I19" s="11" t="s">
        <v>90</v>
      </c>
      <c r="J19" s="12" t="s">
        <v>91</v>
      </c>
      <c r="K19" s="13" t="s">
        <v>76</v>
      </c>
      <c r="L19" s="11" t="str">
        <f>"000205"</f>
        <v>000205</v>
      </c>
      <c r="M19" s="10">
        <v>43111</v>
      </c>
      <c r="N19" s="11" t="str">
        <f>"000101"</f>
        <v>000101</v>
      </c>
      <c r="O19" s="10">
        <v>43179</v>
      </c>
      <c r="P19" s="11" t="str">
        <f>"000192"</f>
        <v>000192</v>
      </c>
      <c r="Q19" s="10">
        <v>43190</v>
      </c>
      <c r="R19" s="11">
        <v>17</v>
      </c>
      <c r="S19" s="11" t="str">
        <f>"000621"</f>
        <v>000621</v>
      </c>
      <c r="T19" s="10">
        <v>43209</v>
      </c>
      <c r="U19" s="14">
        <v>1.296</v>
      </c>
      <c r="V19" s="14">
        <v>9.6299999999999997E-2</v>
      </c>
      <c r="W19" s="14">
        <v>1.1997</v>
      </c>
      <c r="X19" s="11">
        <v>24</v>
      </c>
      <c r="Y19" s="10">
        <v>43215</v>
      </c>
      <c r="Z19" s="11">
        <v>9591546150</v>
      </c>
      <c r="AA19" s="12" t="s">
        <v>92</v>
      </c>
      <c r="AB19" s="11" t="s">
        <v>78</v>
      </c>
      <c r="AC19" s="12" t="s">
        <v>79</v>
      </c>
      <c r="AD19" s="11" t="s">
        <v>44</v>
      </c>
      <c r="AE19" s="12" t="s">
        <v>45</v>
      </c>
      <c r="AF19" s="14">
        <v>1.2960000000000001E-2</v>
      </c>
      <c r="AG19" s="11" t="s">
        <v>46</v>
      </c>
    </row>
    <row r="20" spans="1:33" x14ac:dyDescent="0.2">
      <c r="A20" s="8">
        <v>856</v>
      </c>
      <c r="B20" s="9" t="s">
        <v>93</v>
      </c>
      <c r="C20" s="10">
        <v>43225</v>
      </c>
      <c r="D20" s="11">
        <v>195</v>
      </c>
      <c r="E20" s="12" t="s">
        <v>34</v>
      </c>
      <c r="F20" s="12" t="s">
        <v>35</v>
      </c>
      <c r="G20" s="12" t="s">
        <v>36</v>
      </c>
      <c r="H20" s="12" t="s">
        <v>37</v>
      </c>
      <c r="I20" s="11" t="s">
        <v>94</v>
      </c>
      <c r="J20" s="12" t="s">
        <v>95</v>
      </c>
      <c r="K20" s="13" t="s">
        <v>96</v>
      </c>
      <c r="L20" s="11" t="str">
        <f>"000008"</f>
        <v>000008</v>
      </c>
      <c r="M20" s="10">
        <v>42495</v>
      </c>
      <c r="N20" s="11" t="str">
        <f>"000005"</f>
        <v>000005</v>
      </c>
      <c r="O20" s="10">
        <v>42853</v>
      </c>
      <c r="P20" s="11" t="str">
        <f>"000016"</f>
        <v>000016</v>
      </c>
      <c r="Q20" s="10">
        <v>42853</v>
      </c>
      <c r="R20" s="11">
        <v>16</v>
      </c>
      <c r="S20" s="11" t="str">
        <f>"001072"</f>
        <v>001072</v>
      </c>
      <c r="T20" s="10">
        <v>43224</v>
      </c>
      <c r="U20" s="14">
        <v>19.36</v>
      </c>
      <c r="V20" s="14">
        <v>2.5373000000000001</v>
      </c>
      <c r="W20" s="14">
        <v>16.822700000000001</v>
      </c>
      <c r="X20" s="11">
        <v>38</v>
      </c>
      <c r="Y20" s="10">
        <v>43225</v>
      </c>
      <c r="Z20" s="11">
        <v>9845154892</v>
      </c>
      <c r="AA20" s="12" t="s">
        <v>97</v>
      </c>
      <c r="AB20" s="11" t="s">
        <v>98</v>
      </c>
      <c r="AC20" s="12" t="s">
        <v>99</v>
      </c>
      <c r="AD20" s="11" t="s">
        <v>44</v>
      </c>
      <c r="AE20" s="12" t="s">
        <v>45</v>
      </c>
      <c r="AF20" s="14">
        <v>0.19359999999999999</v>
      </c>
      <c r="AG20" s="11" t="s">
        <v>46</v>
      </c>
    </row>
    <row r="21" spans="1:33" x14ac:dyDescent="0.2">
      <c r="A21" s="8">
        <v>1035</v>
      </c>
      <c r="B21" s="9" t="s">
        <v>93</v>
      </c>
      <c r="C21" s="10">
        <v>43229</v>
      </c>
      <c r="D21" s="11">
        <v>195</v>
      </c>
      <c r="E21" s="12" t="s">
        <v>34</v>
      </c>
      <c r="F21" s="12" t="s">
        <v>35</v>
      </c>
      <c r="G21" s="12" t="s">
        <v>36</v>
      </c>
      <c r="H21" s="12" t="s">
        <v>37</v>
      </c>
      <c r="I21" s="11" t="s">
        <v>100</v>
      </c>
      <c r="J21" s="12" t="s">
        <v>101</v>
      </c>
      <c r="K21" s="13" t="s">
        <v>49</v>
      </c>
      <c r="L21" s="11" t="str">
        <f>"000345"</f>
        <v>000345</v>
      </c>
      <c r="M21" s="10">
        <v>43143</v>
      </c>
      <c r="N21" s="11" t="str">
        <f>"000122"</f>
        <v>000122</v>
      </c>
      <c r="O21" s="10">
        <v>43190</v>
      </c>
      <c r="P21" s="11" t="str">
        <f>"000216"</f>
        <v>000216</v>
      </c>
      <c r="Q21" s="10">
        <v>43190</v>
      </c>
      <c r="R21" s="11">
        <v>17</v>
      </c>
      <c r="S21" s="11" t="str">
        <f>"001226"</f>
        <v>001226</v>
      </c>
      <c r="T21" s="10">
        <v>43228</v>
      </c>
      <c r="U21" s="14">
        <v>22.57</v>
      </c>
      <c r="V21" s="14">
        <v>0.95199999999999996</v>
      </c>
      <c r="W21" s="14">
        <v>21.617999999999999</v>
      </c>
      <c r="X21" s="11">
        <v>43</v>
      </c>
      <c r="Y21" s="10">
        <v>43229</v>
      </c>
      <c r="Z21" s="11">
        <v>9845222227</v>
      </c>
      <c r="AA21" s="12" t="s">
        <v>41</v>
      </c>
      <c r="AB21" s="11" t="s">
        <v>42</v>
      </c>
      <c r="AC21" s="12" t="s">
        <v>43</v>
      </c>
      <c r="AD21" s="11" t="s">
        <v>44</v>
      </c>
      <c r="AE21" s="12" t="s">
        <v>45</v>
      </c>
      <c r="AF21" s="14">
        <v>0.22570000000000001</v>
      </c>
      <c r="AG21" s="11" t="s">
        <v>46</v>
      </c>
    </row>
    <row r="22" spans="1:33" x14ac:dyDescent="0.2">
      <c r="A22" s="8">
        <v>1146</v>
      </c>
      <c r="B22" s="9" t="s">
        <v>93</v>
      </c>
      <c r="C22" s="10">
        <v>43230</v>
      </c>
      <c r="D22" s="11">
        <v>195</v>
      </c>
      <c r="E22" s="12" t="s">
        <v>34</v>
      </c>
      <c r="F22" s="12" t="s">
        <v>35</v>
      </c>
      <c r="G22" s="12" t="s">
        <v>36</v>
      </c>
      <c r="H22" s="12" t="s">
        <v>37</v>
      </c>
      <c r="I22" s="11" t="s">
        <v>102</v>
      </c>
      <c r="J22" s="12" t="s">
        <v>103</v>
      </c>
      <c r="K22" s="13" t="s">
        <v>76</v>
      </c>
      <c r="L22" s="11" t="str">
        <f>"000187"</f>
        <v>000187</v>
      </c>
      <c r="M22" s="10">
        <v>42403</v>
      </c>
      <c r="N22" s="11" t="str">
        <f>"000095"</f>
        <v>000095</v>
      </c>
      <c r="O22" s="10">
        <v>42770</v>
      </c>
      <c r="P22" s="11" t="str">
        <f>"000254"</f>
        <v>000254</v>
      </c>
      <c r="Q22" s="10">
        <v>42770</v>
      </c>
      <c r="R22" s="11">
        <v>16</v>
      </c>
      <c r="S22" s="11" t="str">
        <f>"001249"</f>
        <v>001249</v>
      </c>
      <c r="T22" s="10">
        <v>43228</v>
      </c>
      <c r="U22" s="14">
        <v>10.965350000000001</v>
      </c>
      <c r="V22" s="14">
        <v>1.3329</v>
      </c>
      <c r="W22" s="14">
        <v>9.6324500000000004</v>
      </c>
      <c r="X22" s="11">
        <v>48</v>
      </c>
      <c r="Y22" s="10">
        <v>43230</v>
      </c>
      <c r="Z22" s="11">
        <v>9448064004</v>
      </c>
      <c r="AA22" s="12" t="s">
        <v>104</v>
      </c>
      <c r="AB22" s="11" t="s">
        <v>88</v>
      </c>
      <c r="AC22" s="12" t="s">
        <v>89</v>
      </c>
      <c r="AD22" s="11" t="s">
        <v>44</v>
      </c>
      <c r="AE22" s="12" t="s">
        <v>45</v>
      </c>
      <c r="AF22" s="14">
        <v>0.10965350000000001</v>
      </c>
      <c r="AG22" s="11" t="s">
        <v>46</v>
      </c>
    </row>
    <row r="23" spans="1:33" x14ac:dyDescent="0.2">
      <c r="A23" s="8">
        <v>1268</v>
      </c>
      <c r="B23" s="9" t="s">
        <v>93</v>
      </c>
      <c r="C23" s="10">
        <v>43238</v>
      </c>
      <c r="D23" s="11">
        <v>195</v>
      </c>
      <c r="E23" s="12" t="s">
        <v>34</v>
      </c>
      <c r="F23" s="12" t="s">
        <v>35</v>
      </c>
      <c r="G23" s="12" t="s">
        <v>36</v>
      </c>
      <c r="H23" s="12" t="s">
        <v>37</v>
      </c>
      <c r="I23" s="11" t="s">
        <v>105</v>
      </c>
      <c r="J23" s="12" t="s">
        <v>106</v>
      </c>
      <c r="K23" s="13" t="s">
        <v>40</v>
      </c>
      <c r="L23" s="11" t="str">
        <f>"000066"</f>
        <v>000066</v>
      </c>
      <c r="M23" s="10">
        <v>42515</v>
      </c>
      <c r="N23" s="11" t="str">
        <f>"000059"</f>
        <v>000059</v>
      </c>
      <c r="O23" s="10">
        <v>42581</v>
      </c>
      <c r="P23" s="11" t="str">
        <f>"000110"</f>
        <v>000110</v>
      </c>
      <c r="Q23" s="10">
        <v>42605</v>
      </c>
      <c r="R23" s="11">
        <v>16</v>
      </c>
      <c r="S23" s="11" t="str">
        <f>"001414"</f>
        <v>001414</v>
      </c>
      <c r="T23" s="10">
        <v>43236</v>
      </c>
      <c r="U23" s="14">
        <v>19.148599999999998</v>
      </c>
      <c r="V23" s="14">
        <v>2.6467999999999998</v>
      </c>
      <c r="W23" s="14">
        <v>16.501799999999999</v>
      </c>
      <c r="X23" s="11">
        <v>52</v>
      </c>
      <c r="Y23" s="10">
        <v>43238</v>
      </c>
      <c r="Z23" s="11">
        <v>9448038643</v>
      </c>
      <c r="AA23" s="12" t="s">
        <v>107</v>
      </c>
      <c r="AB23" s="11" t="s">
        <v>108</v>
      </c>
      <c r="AC23" s="12" t="s">
        <v>109</v>
      </c>
      <c r="AD23" s="11" t="s">
        <v>44</v>
      </c>
      <c r="AE23" s="12" t="s">
        <v>45</v>
      </c>
      <c r="AF23" s="14">
        <v>0.19148599999999999</v>
      </c>
      <c r="AG23" s="11" t="s">
        <v>46</v>
      </c>
    </row>
    <row r="24" spans="1:33" x14ac:dyDescent="0.2">
      <c r="A24" s="8">
        <v>1467</v>
      </c>
      <c r="B24" s="9" t="s">
        <v>93</v>
      </c>
      <c r="C24" s="10">
        <v>43242</v>
      </c>
      <c r="D24" s="11">
        <v>195</v>
      </c>
      <c r="E24" s="12" t="s">
        <v>34</v>
      </c>
      <c r="F24" s="12" t="s">
        <v>35</v>
      </c>
      <c r="G24" s="12" t="s">
        <v>36</v>
      </c>
      <c r="H24" s="12" t="s">
        <v>37</v>
      </c>
      <c r="I24" s="11" t="s">
        <v>110</v>
      </c>
      <c r="J24" s="12" t="s">
        <v>111</v>
      </c>
      <c r="K24" s="13" t="s">
        <v>76</v>
      </c>
      <c r="L24" s="11" t="str">
        <f>"000431"</f>
        <v>000431</v>
      </c>
      <c r="M24" s="10">
        <v>43172</v>
      </c>
      <c r="N24" s="11" t="str">
        <f>"000027"</f>
        <v>000027</v>
      </c>
      <c r="O24" s="10">
        <v>43215</v>
      </c>
      <c r="P24" s="11" t="str">
        <f>"000049"</f>
        <v>000049</v>
      </c>
      <c r="Q24" s="10">
        <v>43222</v>
      </c>
      <c r="R24" s="11">
        <v>18</v>
      </c>
      <c r="S24" s="11" t="str">
        <f>"001615"</f>
        <v>001615</v>
      </c>
      <c r="T24" s="10">
        <v>43239</v>
      </c>
      <c r="U24" s="14">
        <v>39.942</v>
      </c>
      <c r="V24" s="14">
        <v>5.8259999999999996</v>
      </c>
      <c r="W24" s="14">
        <v>34.116</v>
      </c>
      <c r="X24" s="11">
        <v>61</v>
      </c>
      <c r="Y24" s="10">
        <v>43242</v>
      </c>
      <c r="Z24" s="11">
        <v>8497856286</v>
      </c>
      <c r="AA24" s="12" t="s">
        <v>112</v>
      </c>
      <c r="AB24" s="11" t="s">
        <v>83</v>
      </c>
      <c r="AC24" s="12" t="s">
        <v>84</v>
      </c>
      <c r="AD24" s="11" t="s">
        <v>44</v>
      </c>
      <c r="AE24" s="12" t="s">
        <v>45</v>
      </c>
      <c r="AF24" s="14">
        <v>0.39942</v>
      </c>
      <c r="AG24" s="11" t="s">
        <v>113</v>
      </c>
    </row>
    <row r="25" spans="1:33" x14ac:dyDescent="0.2">
      <c r="A25" s="8">
        <v>1726</v>
      </c>
      <c r="B25" s="9" t="s">
        <v>114</v>
      </c>
      <c r="C25" s="10">
        <v>43253</v>
      </c>
      <c r="D25" s="11">
        <v>195</v>
      </c>
      <c r="E25" s="12" t="s">
        <v>34</v>
      </c>
      <c r="F25" s="12" t="s">
        <v>35</v>
      </c>
      <c r="G25" s="12" t="s">
        <v>36</v>
      </c>
      <c r="H25" s="12" t="s">
        <v>37</v>
      </c>
      <c r="I25" s="11" t="s">
        <v>115</v>
      </c>
      <c r="J25" s="12" t="s">
        <v>116</v>
      </c>
      <c r="K25" s="13" t="s">
        <v>76</v>
      </c>
      <c r="L25" s="11" t="str">
        <f>"000430"</f>
        <v>000430</v>
      </c>
      <c r="M25" s="10">
        <v>43172</v>
      </c>
      <c r="N25" s="11" t="str">
        <f>"000026"</f>
        <v>000026</v>
      </c>
      <c r="O25" s="10">
        <v>43210</v>
      </c>
      <c r="P25" s="11" t="str">
        <f>"000032"</f>
        <v>000032</v>
      </c>
      <c r="Q25" s="10">
        <v>43220</v>
      </c>
      <c r="R25" s="11">
        <v>18</v>
      </c>
      <c r="S25" s="11" t="str">
        <f>"001806"</f>
        <v>001806</v>
      </c>
      <c r="T25" s="10">
        <v>43244</v>
      </c>
      <c r="U25" s="14">
        <v>29.98</v>
      </c>
      <c r="V25" s="14">
        <v>4.2781000000000002</v>
      </c>
      <c r="W25" s="14">
        <v>25.701899999999998</v>
      </c>
      <c r="X25" s="11">
        <v>68</v>
      </c>
      <c r="Y25" s="10">
        <v>43253</v>
      </c>
      <c r="Z25" s="11">
        <v>9343728241</v>
      </c>
      <c r="AA25" s="12" t="s">
        <v>112</v>
      </c>
      <c r="AB25" s="11" t="s">
        <v>83</v>
      </c>
      <c r="AC25" s="12" t="s">
        <v>84</v>
      </c>
      <c r="AD25" s="11" t="s">
        <v>44</v>
      </c>
      <c r="AE25" s="12" t="s">
        <v>45</v>
      </c>
      <c r="AF25" s="14">
        <v>0.29980000000000001</v>
      </c>
      <c r="AG25" s="11" t="s">
        <v>113</v>
      </c>
    </row>
    <row r="26" spans="1:33" x14ac:dyDescent="0.2">
      <c r="A26" s="8">
        <v>1936</v>
      </c>
      <c r="B26" s="9" t="s">
        <v>114</v>
      </c>
      <c r="C26" s="10">
        <v>43257</v>
      </c>
      <c r="D26" s="11">
        <v>195</v>
      </c>
      <c r="E26" s="12" t="s">
        <v>34</v>
      </c>
      <c r="F26" s="12" t="s">
        <v>35</v>
      </c>
      <c r="G26" s="12" t="s">
        <v>36</v>
      </c>
      <c r="H26" s="12" t="s">
        <v>37</v>
      </c>
      <c r="I26" s="11" t="s">
        <v>117</v>
      </c>
      <c r="J26" s="12" t="s">
        <v>118</v>
      </c>
      <c r="K26" s="13" t="s">
        <v>40</v>
      </c>
      <c r="L26" s="11" t="str">
        <f>"000048"</f>
        <v>000048</v>
      </c>
      <c r="M26" s="10">
        <v>42506</v>
      </c>
      <c r="N26" s="11" t="str">
        <f>"000061"</f>
        <v>000061</v>
      </c>
      <c r="O26" s="10">
        <v>42581</v>
      </c>
      <c r="P26" s="11" t="str">
        <f>"000150"</f>
        <v>000150</v>
      </c>
      <c r="Q26" s="10">
        <v>42625</v>
      </c>
      <c r="R26" s="11">
        <v>16</v>
      </c>
      <c r="S26" s="11" t="str">
        <f>"002128"</f>
        <v>002128</v>
      </c>
      <c r="T26" s="10">
        <v>43253</v>
      </c>
      <c r="U26" s="14">
        <v>19.27</v>
      </c>
      <c r="V26" s="14">
        <v>2.8313000000000001</v>
      </c>
      <c r="W26" s="14">
        <v>16.438700000000001</v>
      </c>
      <c r="X26" s="11">
        <v>71</v>
      </c>
      <c r="Y26" s="10">
        <v>43257</v>
      </c>
      <c r="Z26" s="11">
        <v>9880545654</v>
      </c>
      <c r="AA26" s="12" t="s">
        <v>119</v>
      </c>
      <c r="AB26" s="11" t="s">
        <v>108</v>
      </c>
      <c r="AC26" s="12" t="s">
        <v>109</v>
      </c>
      <c r="AD26" s="11" t="s">
        <v>44</v>
      </c>
      <c r="AE26" s="12" t="s">
        <v>45</v>
      </c>
      <c r="AF26" s="14">
        <v>0.19269999999999998</v>
      </c>
      <c r="AG26" s="11" t="s">
        <v>46</v>
      </c>
    </row>
    <row r="27" spans="1:33" x14ac:dyDescent="0.2">
      <c r="A27" s="8">
        <v>1937</v>
      </c>
      <c r="B27" s="9" t="s">
        <v>114</v>
      </c>
      <c r="C27" s="10">
        <v>43257</v>
      </c>
      <c r="D27" s="11">
        <v>195</v>
      </c>
      <c r="E27" s="12" t="s">
        <v>34</v>
      </c>
      <c r="F27" s="12" t="s">
        <v>35</v>
      </c>
      <c r="G27" s="12" t="s">
        <v>36</v>
      </c>
      <c r="H27" s="12" t="s">
        <v>37</v>
      </c>
      <c r="I27" s="11" t="s">
        <v>120</v>
      </c>
      <c r="J27" s="12" t="s">
        <v>121</v>
      </c>
      <c r="K27" s="13" t="s">
        <v>40</v>
      </c>
      <c r="L27" s="11" t="str">
        <f>"000049"</f>
        <v>000049</v>
      </c>
      <c r="M27" s="10">
        <v>42506</v>
      </c>
      <c r="N27" s="11" t="str">
        <f>"000060"</f>
        <v>000060</v>
      </c>
      <c r="O27" s="10">
        <v>42576</v>
      </c>
      <c r="P27" s="11" t="str">
        <f>"000151"</f>
        <v>000151</v>
      </c>
      <c r="Q27" s="10">
        <v>42625</v>
      </c>
      <c r="R27" s="11">
        <v>16</v>
      </c>
      <c r="S27" s="11" t="str">
        <f>"002129"</f>
        <v>002129</v>
      </c>
      <c r="T27" s="10">
        <v>43253</v>
      </c>
      <c r="U27" s="14">
        <v>24.1</v>
      </c>
      <c r="V27" s="14">
        <v>3.5406</v>
      </c>
      <c r="W27" s="14">
        <v>20.5594</v>
      </c>
      <c r="X27" s="11">
        <v>71</v>
      </c>
      <c r="Y27" s="10">
        <v>43257</v>
      </c>
      <c r="Z27" s="11">
        <v>9880545654</v>
      </c>
      <c r="AA27" s="12" t="s">
        <v>119</v>
      </c>
      <c r="AB27" s="11" t="s">
        <v>108</v>
      </c>
      <c r="AC27" s="12" t="s">
        <v>109</v>
      </c>
      <c r="AD27" s="11" t="s">
        <v>44</v>
      </c>
      <c r="AE27" s="12" t="s">
        <v>45</v>
      </c>
      <c r="AF27" s="14">
        <v>0.24100000000000002</v>
      </c>
      <c r="AG27" s="11" t="s">
        <v>46</v>
      </c>
    </row>
    <row r="28" spans="1:33" x14ac:dyDescent="0.2">
      <c r="A28" s="8">
        <v>1938</v>
      </c>
      <c r="B28" s="9" t="s">
        <v>114</v>
      </c>
      <c r="C28" s="10">
        <v>43257</v>
      </c>
      <c r="D28" s="11">
        <v>195</v>
      </c>
      <c r="E28" s="12" t="s">
        <v>34</v>
      </c>
      <c r="F28" s="12" t="s">
        <v>35</v>
      </c>
      <c r="G28" s="12" t="s">
        <v>36</v>
      </c>
      <c r="H28" s="12" t="s">
        <v>37</v>
      </c>
      <c r="I28" s="11" t="s">
        <v>122</v>
      </c>
      <c r="J28" s="12" t="s">
        <v>123</v>
      </c>
      <c r="K28" s="13" t="s">
        <v>40</v>
      </c>
      <c r="L28" s="11" t="str">
        <f>"000045"</f>
        <v>000045</v>
      </c>
      <c r="M28" s="10">
        <v>42506</v>
      </c>
      <c r="N28" s="11" t="str">
        <f>"000062"</f>
        <v>000062</v>
      </c>
      <c r="O28" s="10">
        <v>42581</v>
      </c>
      <c r="P28" s="11" t="str">
        <f>"000152"</f>
        <v>000152</v>
      </c>
      <c r="Q28" s="10">
        <v>42625</v>
      </c>
      <c r="R28" s="11">
        <v>16</v>
      </c>
      <c r="S28" s="11" t="str">
        <f>"002130"</f>
        <v>002130</v>
      </c>
      <c r="T28" s="10">
        <v>43253</v>
      </c>
      <c r="U28" s="14">
        <v>23.932500000000001</v>
      </c>
      <c r="V28" s="14">
        <v>3.39825</v>
      </c>
      <c r="W28" s="14">
        <v>20.53425</v>
      </c>
      <c r="X28" s="11">
        <v>71</v>
      </c>
      <c r="Y28" s="10">
        <v>43257</v>
      </c>
      <c r="Z28" s="11">
        <v>9986096015</v>
      </c>
      <c r="AA28" s="12" t="s">
        <v>119</v>
      </c>
      <c r="AB28" s="11" t="s">
        <v>108</v>
      </c>
      <c r="AC28" s="12" t="s">
        <v>109</v>
      </c>
      <c r="AD28" s="11" t="s">
        <v>44</v>
      </c>
      <c r="AE28" s="12" t="s">
        <v>45</v>
      </c>
      <c r="AF28" s="14">
        <v>0.23932500000000001</v>
      </c>
      <c r="AG28" s="11" t="s">
        <v>46</v>
      </c>
    </row>
    <row r="29" spans="1:33" x14ac:dyDescent="0.2">
      <c r="A29" s="8">
        <v>1939</v>
      </c>
      <c r="B29" s="9" t="s">
        <v>114</v>
      </c>
      <c r="C29" s="10">
        <v>43257</v>
      </c>
      <c r="D29" s="11">
        <v>195</v>
      </c>
      <c r="E29" s="12" t="s">
        <v>34</v>
      </c>
      <c r="F29" s="12" t="s">
        <v>35</v>
      </c>
      <c r="G29" s="12" t="s">
        <v>36</v>
      </c>
      <c r="H29" s="12" t="s">
        <v>37</v>
      </c>
      <c r="I29" s="11" t="s">
        <v>124</v>
      </c>
      <c r="J29" s="12" t="s">
        <v>125</v>
      </c>
      <c r="K29" s="13" t="s">
        <v>40</v>
      </c>
      <c r="L29" s="11" t="str">
        <f>"000046"</f>
        <v>000046</v>
      </c>
      <c r="M29" s="10">
        <v>42506</v>
      </c>
      <c r="N29" s="11" t="str">
        <f>"000064"</f>
        <v>000064</v>
      </c>
      <c r="O29" s="10">
        <v>42612</v>
      </c>
      <c r="P29" s="11" t="str">
        <f>"000153"</f>
        <v>000153</v>
      </c>
      <c r="Q29" s="10">
        <v>42625</v>
      </c>
      <c r="R29" s="11">
        <v>16</v>
      </c>
      <c r="S29" s="11" t="str">
        <f>"002131"</f>
        <v>002131</v>
      </c>
      <c r="T29" s="10">
        <v>43253</v>
      </c>
      <c r="U29" s="14">
        <v>18.96</v>
      </c>
      <c r="V29" s="14">
        <v>2.7890999999999999</v>
      </c>
      <c r="W29" s="14">
        <v>16.1709</v>
      </c>
      <c r="X29" s="11">
        <v>71</v>
      </c>
      <c r="Y29" s="10">
        <v>43257</v>
      </c>
      <c r="Z29" s="11">
        <v>9880545654</v>
      </c>
      <c r="AA29" s="12" t="s">
        <v>119</v>
      </c>
      <c r="AB29" s="11" t="s">
        <v>108</v>
      </c>
      <c r="AC29" s="12" t="s">
        <v>109</v>
      </c>
      <c r="AD29" s="11" t="s">
        <v>44</v>
      </c>
      <c r="AE29" s="12" t="s">
        <v>45</v>
      </c>
      <c r="AF29" s="14">
        <v>0.18960000000000002</v>
      </c>
      <c r="AG29" s="11" t="s">
        <v>46</v>
      </c>
    </row>
    <row r="30" spans="1:33" x14ac:dyDescent="0.2">
      <c r="A30" s="8">
        <v>1940</v>
      </c>
      <c r="B30" s="9" t="s">
        <v>114</v>
      </c>
      <c r="C30" s="10">
        <v>43257</v>
      </c>
      <c r="D30" s="11">
        <v>195</v>
      </c>
      <c r="E30" s="12" t="s">
        <v>34</v>
      </c>
      <c r="F30" s="12" t="s">
        <v>35</v>
      </c>
      <c r="G30" s="12" t="s">
        <v>36</v>
      </c>
      <c r="H30" s="12" t="s">
        <v>37</v>
      </c>
      <c r="I30" s="11" t="s">
        <v>126</v>
      </c>
      <c r="J30" s="12" t="s">
        <v>127</v>
      </c>
      <c r="K30" s="13" t="s">
        <v>76</v>
      </c>
      <c r="L30" s="11" t="str">
        <f>"000047"</f>
        <v>000047</v>
      </c>
      <c r="M30" s="10">
        <v>42506</v>
      </c>
      <c r="N30" s="11" t="str">
        <f>"000065"</f>
        <v>000065</v>
      </c>
      <c r="O30" s="10">
        <v>42612</v>
      </c>
      <c r="P30" s="11" t="str">
        <f>"000154"</f>
        <v>000154</v>
      </c>
      <c r="Q30" s="10">
        <v>42625</v>
      </c>
      <c r="R30" s="11">
        <v>16</v>
      </c>
      <c r="S30" s="11" t="str">
        <f>"002132"</f>
        <v>002132</v>
      </c>
      <c r="T30" s="10">
        <v>43253</v>
      </c>
      <c r="U30" s="14">
        <v>19.3443</v>
      </c>
      <c r="V30" s="14">
        <v>2.7493500000000002</v>
      </c>
      <c r="W30" s="14">
        <v>16.594950000000001</v>
      </c>
      <c r="X30" s="11">
        <v>71</v>
      </c>
      <c r="Y30" s="10">
        <v>43257</v>
      </c>
      <c r="Z30" s="11">
        <v>9880545654</v>
      </c>
      <c r="AA30" s="12" t="s">
        <v>119</v>
      </c>
      <c r="AB30" s="11" t="s">
        <v>108</v>
      </c>
      <c r="AC30" s="12" t="s">
        <v>109</v>
      </c>
      <c r="AD30" s="11" t="s">
        <v>44</v>
      </c>
      <c r="AE30" s="12" t="s">
        <v>45</v>
      </c>
      <c r="AF30" s="14">
        <v>0.193443</v>
      </c>
      <c r="AG30" s="11" t="s">
        <v>46</v>
      </c>
    </row>
    <row r="31" spans="1:33" x14ac:dyDescent="0.2">
      <c r="A31" s="8">
        <v>2070</v>
      </c>
      <c r="B31" s="9" t="s">
        <v>114</v>
      </c>
      <c r="C31" s="10">
        <v>43262</v>
      </c>
      <c r="D31" s="11">
        <v>195</v>
      </c>
      <c r="E31" s="12" t="s">
        <v>34</v>
      </c>
      <c r="F31" s="12" t="s">
        <v>35</v>
      </c>
      <c r="G31" s="12" t="s">
        <v>36</v>
      </c>
      <c r="H31" s="12" t="s">
        <v>37</v>
      </c>
      <c r="I31" s="11" t="s">
        <v>128</v>
      </c>
      <c r="J31" s="12" t="s">
        <v>129</v>
      </c>
      <c r="K31" s="13" t="s">
        <v>96</v>
      </c>
      <c r="L31" s="11" t="str">
        <f>"000267"</f>
        <v>000267</v>
      </c>
      <c r="M31" s="10">
        <v>42825</v>
      </c>
      <c r="N31" s="11" t="str">
        <f>"000056"</f>
        <v>000056</v>
      </c>
      <c r="O31" s="10">
        <v>42916</v>
      </c>
      <c r="P31" s="11" t="str">
        <f>"000106"</f>
        <v>000106</v>
      </c>
      <c r="Q31" s="10">
        <v>42916</v>
      </c>
      <c r="R31" s="11">
        <v>17</v>
      </c>
      <c r="S31" s="11" t="str">
        <f>"002242"</f>
        <v>002242</v>
      </c>
      <c r="T31" s="10">
        <v>43257</v>
      </c>
      <c r="U31" s="14">
        <v>9.9640000000000004</v>
      </c>
      <c r="V31" s="14">
        <v>1.2161</v>
      </c>
      <c r="W31" s="14">
        <v>8.7478999999999996</v>
      </c>
      <c r="X31" s="11">
        <v>79</v>
      </c>
      <c r="Y31" s="10">
        <v>43262</v>
      </c>
      <c r="Z31" s="11">
        <v>9036718749</v>
      </c>
      <c r="AA31" s="12" t="s">
        <v>130</v>
      </c>
      <c r="AB31" s="11" t="s">
        <v>98</v>
      </c>
      <c r="AC31" s="12" t="s">
        <v>99</v>
      </c>
      <c r="AD31" s="11" t="s">
        <v>44</v>
      </c>
      <c r="AE31" s="12" t="s">
        <v>45</v>
      </c>
      <c r="AF31" s="14">
        <v>9.9640000000000006E-2</v>
      </c>
      <c r="AG31" s="11" t="s">
        <v>46</v>
      </c>
    </row>
    <row r="32" spans="1:33" x14ac:dyDescent="0.2">
      <c r="A32" s="8">
        <v>2669</v>
      </c>
      <c r="B32" s="9" t="s">
        <v>114</v>
      </c>
      <c r="C32" s="10">
        <v>43276</v>
      </c>
      <c r="D32" s="11">
        <v>195</v>
      </c>
      <c r="E32" s="12" t="s">
        <v>34</v>
      </c>
      <c r="F32" s="12" t="s">
        <v>35</v>
      </c>
      <c r="G32" s="12" t="s">
        <v>36</v>
      </c>
      <c r="H32" s="12" t="s">
        <v>37</v>
      </c>
      <c r="I32" s="11" t="s">
        <v>131</v>
      </c>
      <c r="J32" s="12" t="s">
        <v>132</v>
      </c>
      <c r="K32" s="13" t="s">
        <v>40</v>
      </c>
      <c r="L32" s="11" t="str">
        <f>"000198"</f>
        <v>000198</v>
      </c>
      <c r="M32" s="10">
        <v>43105</v>
      </c>
      <c r="N32" s="11" t="str">
        <f>"000034"</f>
        <v>000034</v>
      </c>
      <c r="O32" s="10">
        <v>43231</v>
      </c>
      <c r="P32" s="11" t="str">
        <f>"000072"</f>
        <v>000072</v>
      </c>
      <c r="Q32" s="10">
        <v>43245</v>
      </c>
      <c r="R32" s="11">
        <v>18</v>
      </c>
      <c r="S32" s="11" t="str">
        <f>"002787"</f>
        <v>002787</v>
      </c>
      <c r="T32" s="10">
        <v>43271</v>
      </c>
      <c r="U32" s="14">
        <v>49.98</v>
      </c>
      <c r="V32" s="14">
        <v>7.2781000000000002</v>
      </c>
      <c r="W32" s="14">
        <v>42.701900000000002</v>
      </c>
      <c r="X32" s="11">
        <v>100</v>
      </c>
      <c r="Y32" s="10">
        <v>43276</v>
      </c>
      <c r="Z32" s="11">
        <v>9900007121</v>
      </c>
      <c r="AA32" s="12" t="s">
        <v>112</v>
      </c>
      <c r="AB32" s="11" t="s">
        <v>83</v>
      </c>
      <c r="AC32" s="12" t="s">
        <v>84</v>
      </c>
      <c r="AD32" s="11" t="s">
        <v>44</v>
      </c>
      <c r="AE32" s="12" t="s">
        <v>45</v>
      </c>
      <c r="AF32" s="14">
        <v>0.49979999999999997</v>
      </c>
      <c r="AG32" s="11" t="s">
        <v>113</v>
      </c>
    </row>
    <row r="33" spans="1:33" x14ac:dyDescent="0.2">
      <c r="A33" s="8">
        <v>3354</v>
      </c>
      <c r="B33" s="9" t="s">
        <v>133</v>
      </c>
      <c r="C33" s="10">
        <v>43297</v>
      </c>
      <c r="D33" s="11">
        <v>195</v>
      </c>
      <c r="E33" s="12" t="s">
        <v>34</v>
      </c>
      <c r="F33" s="12" t="s">
        <v>35</v>
      </c>
      <c r="G33" s="12" t="s">
        <v>36</v>
      </c>
      <c r="H33" s="12" t="s">
        <v>37</v>
      </c>
      <c r="I33" s="11" t="s">
        <v>134</v>
      </c>
      <c r="J33" s="12" t="s">
        <v>135</v>
      </c>
      <c r="K33" s="13" t="s">
        <v>40</v>
      </c>
      <c r="L33" s="11" t="str">
        <f>"000113"</f>
        <v>000113</v>
      </c>
      <c r="M33" s="10">
        <v>42608</v>
      </c>
      <c r="N33" s="11" t="str">
        <f>"000088"</f>
        <v>000088</v>
      </c>
      <c r="O33" s="10">
        <v>42734</v>
      </c>
      <c r="P33" s="11" t="str">
        <f>"000224"</f>
        <v>000224</v>
      </c>
      <c r="Q33" s="10">
        <v>42734</v>
      </c>
      <c r="R33" s="11">
        <v>17</v>
      </c>
      <c r="S33" s="11" t="str">
        <f>"003471"</f>
        <v>003471</v>
      </c>
      <c r="T33" s="10">
        <v>43291</v>
      </c>
      <c r="U33" s="14">
        <v>97.05744</v>
      </c>
      <c r="V33" s="14">
        <v>16.375299999999999</v>
      </c>
      <c r="W33" s="14">
        <v>80.682140000000004</v>
      </c>
      <c r="X33" s="11">
        <v>125</v>
      </c>
      <c r="Y33" s="10">
        <v>43297</v>
      </c>
      <c r="Z33" s="11">
        <v>9980335777</v>
      </c>
      <c r="AA33" s="12" t="s">
        <v>136</v>
      </c>
      <c r="AB33" s="11" t="s">
        <v>137</v>
      </c>
      <c r="AC33" s="12" t="s">
        <v>138</v>
      </c>
      <c r="AD33" s="11" t="s">
        <v>44</v>
      </c>
      <c r="AE33" s="12" t="s">
        <v>45</v>
      </c>
      <c r="AF33" s="14">
        <v>0.97057439999999995</v>
      </c>
      <c r="AG33" s="11" t="s">
        <v>46</v>
      </c>
    </row>
    <row r="34" spans="1:33" x14ac:dyDescent="0.2">
      <c r="A34" s="8">
        <v>3632</v>
      </c>
      <c r="B34" s="9" t="s">
        <v>133</v>
      </c>
      <c r="C34" s="10">
        <v>43299</v>
      </c>
      <c r="D34" s="11">
        <v>195</v>
      </c>
      <c r="E34" s="12" t="s">
        <v>34</v>
      </c>
      <c r="F34" s="12" t="s">
        <v>35</v>
      </c>
      <c r="G34" s="12" t="s">
        <v>36</v>
      </c>
      <c r="H34" s="12" t="s">
        <v>37</v>
      </c>
      <c r="I34" s="11" t="s">
        <v>139</v>
      </c>
      <c r="J34" s="12" t="s">
        <v>140</v>
      </c>
      <c r="K34" s="13" t="s">
        <v>49</v>
      </c>
      <c r="L34" s="11" t="str">
        <f>"000005"</f>
        <v>000005</v>
      </c>
      <c r="M34" s="10">
        <v>42929</v>
      </c>
      <c r="N34" s="11" t="str">
        <f>"000046"</f>
        <v>000046</v>
      </c>
      <c r="O34" s="10">
        <v>43112</v>
      </c>
      <c r="P34" s="11" t="str">
        <f>"000051"</f>
        <v>000051</v>
      </c>
      <c r="Q34" s="10">
        <v>43112</v>
      </c>
      <c r="R34" s="11">
        <v>16</v>
      </c>
      <c r="S34" s="11" t="str">
        <f>"003755"</f>
        <v>003755</v>
      </c>
      <c r="T34" s="10">
        <v>43294</v>
      </c>
      <c r="U34" s="14">
        <v>11.516159999999999</v>
      </c>
      <c r="V34" s="14">
        <v>1.5632999999999999</v>
      </c>
      <c r="W34" s="14">
        <v>9.9528599999999994</v>
      </c>
      <c r="X34" s="11">
        <v>127</v>
      </c>
      <c r="Y34" s="10">
        <v>43299</v>
      </c>
      <c r="Z34" s="11">
        <v>9632977771</v>
      </c>
      <c r="AA34" s="12" t="s">
        <v>141</v>
      </c>
      <c r="AB34" s="11" t="s">
        <v>142</v>
      </c>
      <c r="AC34" s="12" t="s">
        <v>143</v>
      </c>
      <c r="AD34" s="11" t="s">
        <v>144</v>
      </c>
      <c r="AE34" s="12" t="s">
        <v>145</v>
      </c>
      <c r="AF34" s="14">
        <v>0.11516159999999999</v>
      </c>
      <c r="AG34" s="11" t="s">
        <v>46</v>
      </c>
    </row>
    <row r="35" spans="1:33" x14ac:dyDescent="0.2">
      <c r="A35" s="8">
        <v>4619</v>
      </c>
      <c r="B35" s="9" t="s">
        <v>146</v>
      </c>
      <c r="C35" s="10">
        <v>43318</v>
      </c>
      <c r="D35" s="11">
        <v>195</v>
      </c>
      <c r="E35" s="12" t="s">
        <v>34</v>
      </c>
      <c r="F35" s="12" t="s">
        <v>35</v>
      </c>
      <c r="G35" s="12" t="s">
        <v>36</v>
      </c>
      <c r="H35" s="12" t="s">
        <v>37</v>
      </c>
      <c r="I35" s="11" t="s">
        <v>147</v>
      </c>
      <c r="J35" s="12" t="s">
        <v>148</v>
      </c>
      <c r="K35" s="13" t="s">
        <v>49</v>
      </c>
      <c r="L35" s="11" t="str">
        <f>"000157"</f>
        <v>000157</v>
      </c>
      <c r="M35" s="10">
        <v>42760</v>
      </c>
      <c r="N35" s="11" t="str">
        <f>"000103"</f>
        <v>000103</v>
      </c>
      <c r="O35" s="10">
        <v>42794</v>
      </c>
      <c r="P35" s="11" t="str">
        <f>"000257"</f>
        <v>000257</v>
      </c>
      <c r="Q35" s="10">
        <v>42794</v>
      </c>
      <c r="R35" s="11">
        <v>16</v>
      </c>
      <c r="S35" s="11" t="str">
        <f>"004645"</f>
        <v>004645</v>
      </c>
      <c r="T35" s="10">
        <v>43313</v>
      </c>
      <c r="U35" s="14">
        <v>3.3872</v>
      </c>
      <c r="V35" s="14">
        <v>0.43719999999999998</v>
      </c>
      <c r="W35" s="14">
        <v>2.95</v>
      </c>
      <c r="X35" s="11">
        <v>159</v>
      </c>
      <c r="Y35" s="10">
        <v>43318</v>
      </c>
      <c r="Z35" s="11">
        <v>9980010778</v>
      </c>
      <c r="AA35" s="12" t="s">
        <v>149</v>
      </c>
      <c r="AB35" s="11" t="s">
        <v>150</v>
      </c>
      <c r="AC35" s="12" t="s">
        <v>151</v>
      </c>
      <c r="AD35" s="11" t="s">
        <v>44</v>
      </c>
      <c r="AE35" s="12" t="s">
        <v>45</v>
      </c>
      <c r="AF35" s="14">
        <v>3.3871999999999999E-2</v>
      </c>
      <c r="AG35" s="11" t="s">
        <v>46</v>
      </c>
    </row>
    <row r="36" spans="1:33" x14ac:dyDescent="0.2">
      <c r="A36" s="8">
        <v>4906</v>
      </c>
      <c r="B36" s="9" t="s">
        <v>146</v>
      </c>
      <c r="C36" s="10">
        <v>43326</v>
      </c>
      <c r="D36" s="11">
        <v>195</v>
      </c>
      <c r="E36" s="12" t="s">
        <v>34</v>
      </c>
      <c r="F36" s="12" t="s">
        <v>35</v>
      </c>
      <c r="G36" s="12" t="s">
        <v>36</v>
      </c>
      <c r="H36" s="12" t="s">
        <v>37</v>
      </c>
      <c r="I36" s="11" t="s">
        <v>152</v>
      </c>
      <c r="J36" s="12" t="s">
        <v>153</v>
      </c>
      <c r="K36" s="13" t="s">
        <v>40</v>
      </c>
      <c r="L36" s="11" t="str">
        <f>"000253"</f>
        <v>000253</v>
      </c>
      <c r="M36" s="10">
        <v>42037</v>
      </c>
      <c r="N36" s="11" t="str">
        <f>"000074"</f>
        <v>000074</v>
      </c>
      <c r="O36" s="10">
        <v>42671</v>
      </c>
      <c r="P36" s="11" t="str">
        <f>"000203"</f>
        <v>000203</v>
      </c>
      <c r="Q36" s="10">
        <v>42671</v>
      </c>
      <c r="R36" s="11">
        <v>15</v>
      </c>
      <c r="S36" s="11" t="str">
        <f>"004907"</f>
        <v>004907</v>
      </c>
      <c r="T36" s="10">
        <v>43318</v>
      </c>
      <c r="U36" s="14">
        <v>19.759</v>
      </c>
      <c r="V36" s="14">
        <v>2.9384999999999999</v>
      </c>
      <c r="W36" s="14">
        <v>16.820499999999999</v>
      </c>
      <c r="X36" s="11">
        <v>170</v>
      </c>
      <c r="Y36" s="10">
        <v>43326</v>
      </c>
      <c r="Z36" s="11">
        <v>9845131166</v>
      </c>
      <c r="AA36" s="12" t="s">
        <v>154</v>
      </c>
      <c r="AB36" s="11" t="s">
        <v>88</v>
      </c>
      <c r="AC36" s="12" t="s">
        <v>89</v>
      </c>
      <c r="AD36" s="11" t="s">
        <v>44</v>
      </c>
      <c r="AE36" s="12" t="s">
        <v>45</v>
      </c>
      <c r="AF36" s="14">
        <v>0.19759000000000002</v>
      </c>
      <c r="AG36" s="11" t="s">
        <v>46</v>
      </c>
    </row>
    <row r="37" spans="1:33" x14ac:dyDescent="0.2">
      <c r="A37" s="8">
        <v>4907</v>
      </c>
      <c r="B37" s="9" t="s">
        <v>146</v>
      </c>
      <c r="C37" s="10">
        <v>43326</v>
      </c>
      <c r="D37" s="11">
        <v>195</v>
      </c>
      <c r="E37" s="12" t="s">
        <v>34</v>
      </c>
      <c r="F37" s="12" t="s">
        <v>35</v>
      </c>
      <c r="G37" s="12" t="s">
        <v>36</v>
      </c>
      <c r="H37" s="12" t="s">
        <v>37</v>
      </c>
      <c r="I37" s="11" t="s">
        <v>155</v>
      </c>
      <c r="J37" s="12" t="s">
        <v>156</v>
      </c>
      <c r="K37" s="13" t="s">
        <v>49</v>
      </c>
      <c r="L37" s="11" t="str">
        <f>"000094"</f>
        <v>000094</v>
      </c>
      <c r="M37" s="10">
        <v>42544</v>
      </c>
      <c r="N37" s="11" t="str">
        <f>"000116"</f>
        <v>000116</v>
      </c>
      <c r="O37" s="10">
        <v>42825</v>
      </c>
      <c r="P37" s="11" t="str">
        <f>"000296"</f>
        <v>000296</v>
      </c>
      <c r="Q37" s="10">
        <v>42825</v>
      </c>
      <c r="R37" s="11">
        <v>16</v>
      </c>
      <c r="S37" s="11" t="str">
        <f>"005073"</f>
        <v>005073</v>
      </c>
      <c r="T37" s="10">
        <v>43322</v>
      </c>
      <c r="U37" s="14">
        <v>43.72</v>
      </c>
      <c r="V37" s="14">
        <v>6.4695</v>
      </c>
      <c r="W37" s="14">
        <v>37.250500000000002</v>
      </c>
      <c r="X37" s="11">
        <v>170</v>
      </c>
      <c r="Y37" s="10">
        <v>43326</v>
      </c>
      <c r="Z37" s="11">
        <v>9900155965</v>
      </c>
      <c r="AA37" s="12" t="s">
        <v>157</v>
      </c>
      <c r="AB37" s="11" t="s">
        <v>108</v>
      </c>
      <c r="AC37" s="12" t="s">
        <v>109</v>
      </c>
      <c r="AD37" s="11" t="s">
        <v>44</v>
      </c>
      <c r="AE37" s="12" t="s">
        <v>45</v>
      </c>
      <c r="AF37" s="14">
        <v>0.43719999999999998</v>
      </c>
      <c r="AG37" s="11" t="s">
        <v>46</v>
      </c>
    </row>
    <row r="38" spans="1:33" x14ac:dyDescent="0.2">
      <c r="A38" s="8">
        <v>5118</v>
      </c>
      <c r="B38" s="9" t="s">
        <v>146</v>
      </c>
      <c r="C38" s="10">
        <v>43337</v>
      </c>
      <c r="D38" s="11">
        <v>195</v>
      </c>
      <c r="E38" s="12" t="s">
        <v>34</v>
      </c>
      <c r="F38" s="12" t="s">
        <v>35</v>
      </c>
      <c r="G38" s="12" t="s">
        <v>36</v>
      </c>
      <c r="H38" s="12" t="s">
        <v>37</v>
      </c>
      <c r="I38" s="11" t="s">
        <v>158</v>
      </c>
      <c r="J38" s="12" t="s">
        <v>159</v>
      </c>
      <c r="K38" s="13" t="s">
        <v>76</v>
      </c>
      <c r="L38" s="11" t="str">
        <f>"000432"</f>
        <v>000432</v>
      </c>
      <c r="M38" s="10">
        <v>43172</v>
      </c>
      <c r="N38" s="11" t="str">
        <f>"000083"</f>
        <v>000083</v>
      </c>
      <c r="O38" s="10">
        <v>43306</v>
      </c>
      <c r="P38" s="11" t="str">
        <f>"000188"</f>
        <v>000188</v>
      </c>
      <c r="Q38" s="10">
        <v>43308</v>
      </c>
      <c r="R38" s="11">
        <v>18</v>
      </c>
      <c r="S38" s="11" t="str">
        <f>"005246"</f>
        <v>005246</v>
      </c>
      <c r="T38" s="10">
        <v>43326</v>
      </c>
      <c r="U38" s="14">
        <v>29.9328</v>
      </c>
      <c r="V38" s="14">
        <v>3.6389999999999998</v>
      </c>
      <c r="W38" s="14">
        <v>26.293800000000001</v>
      </c>
      <c r="X38" s="11">
        <v>181</v>
      </c>
      <c r="Y38" s="10">
        <v>43337</v>
      </c>
      <c r="Z38" s="11">
        <v>8497856286</v>
      </c>
      <c r="AA38" s="12" t="s">
        <v>112</v>
      </c>
      <c r="AB38" s="11" t="s">
        <v>83</v>
      </c>
      <c r="AC38" s="12" t="s">
        <v>84</v>
      </c>
      <c r="AD38" s="11" t="s">
        <v>44</v>
      </c>
      <c r="AE38" s="12" t="s">
        <v>45</v>
      </c>
      <c r="AF38" s="14">
        <v>0.29932799999999998</v>
      </c>
      <c r="AG38" s="11" t="s">
        <v>113</v>
      </c>
    </row>
    <row r="39" spans="1:33" x14ac:dyDescent="0.2">
      <c r="A39" s="8">
        <v>5769</v>
      </c>
      <c r="B39" s="9" t="s">
        <v>160</v>
      </c>
      <c r="C39" s="10">
        <v>43370</v>
      </c>
      <c r="D39" s="11">
        <v>195</v>
      </c>
      <c r="E39" s="12" t="s">
        <v>34</v>
      </c>
      <c r="F39" s="12" t="s">
        <v>35</v>
      </c>
      <c r="G39" s="12" t="s">
        <v>36</v>
      </c>
      <c r="H39" s="12" t="s">
        <v>37</v>
      </c>
      <c r="I39" s="11" t="s">
        <v>161</v>
      </c>
      <c r="J39" s="12" t="s">
        <v>162</v>
      </c>
      <c r="K39" s="13" t="s">
        <v>40</v>
      </c>
      <c r="L39" s="11" t="str">
        <f>"000190"</f>
        <v>000190</v>
      </c>
      <c r="M39" s="10">
        <v>42800</v>
      </c>
      <c r="N39" s="11" t="str">
        <f>"000009"</f>
        <v>000009</v>
      </c>
      <c r="O39" s="10">
        <v>42853</v>
      </c>
      <c r="P39" s="11" t="str">
        <f>"000018"</f>
        <v>000018</v>
      </c>
      <c r="Q39" s="10">
        <v>42853</v>
      </c>
      <c r="R39" s="11">
        <v>17</v>
      </c>
      <c r="S39" s="11" t="str">
        <f>"005892"</f>
        <v>005892</v>
      </c>
      <c r="T39" s="10">
        <v>43367</v>
      </c>
      <c r="U39" s="14">
        <v>39.65</v>
      </c>
      <c r="V39" s="14">
        <v>6.5927499999999997</v>
      </c>
      <c r="W39" s="14">
        <v>33.057250000000003</v>
      </c>
      <c r="X39" s="11">
        <v>217</v>
      </c>
      <c r="Y39" s="10">
        <v>43370</v>
      </c>
      <c r="Z39" s="11">
        <v>9845154892</v>
      </c>
      <c r="AA39" s="12" t="s">
        <v>136</v>
      </c>
      <c r="AB39" s="11" t="s">
        <v>163</v>
      </c>
      <c r="AC39" s="12" t="s">
        <v>164</v>
      </c>
      <c r="AD39" s="11" t="s">
        <v>44</v>
      </c>
      <c r="AE39" s="12" t="s">
        <v>45</v>
      </c>
      <c r="AF39" s="14">
        <f t="shared" ref="AF39:AF65" si="0">U39/100</f>
        <v>0.39649999999999996</v>
      </c>
      <c r="AG39" s="11" t="s">
        <v>46</v>
      </c>
    </row>
    <row r="40" spans="1:33" x14ac:dyDescent="0.2">
      <c r="A40" s="8">
        <v>5770</v>
      </c>
      <c r="B40" s="9" t="s">
        <v>160</v>
      </c>
      <c r="C40" s="10">
        <v>43370</v>
      </c>
      <c r="D40" s="11">
        <v>195</v>
      </c>
      <c r="E40" s="12" t="s">
        <v>34</v>
      </c>
      <c r="F40" s="12" t="s">
        <v>35</v>
      </c>
      <c r="G40" s="12" t="s">
        <v>36</v>
      </c>
      <c r="H40" s="12" t="s">
        <v>37</v>
      </c>
      <c r="I40" s="11" t="s">
        <v>165</v>
      </c>
      <c r="J40" s="12" t="s">
        <v>166</v>
      </c>
      <c r="K40" s="13" t="s">
        <v>40</v>
      </c>
      <c r="L40" s="11" t="str">
        <f>"000189"</f>
        <v>000189</v>
      </c>
      <c r="M40" s="10">
        <v>42800</v>
      </c>
      <c r="N40" s="11" t="str">
        <f>"000008"</f>
        <v>000008</v>
      </c>
      <c r="O40" s="10">
        <v>42853</v>
      </c>
      <c r="P40" s="11" t="str">
        <f>"000019"</f>
        <v>000019</v>
      </c>
      <c r="Q40" s="10">
        <v>42853</v>
      </c>
      <c r="R40" s="11">
        <v>17</v>
      </c>
      <c r="S40" s="11" t="str">
        <f>"005894"</f>
        <v>005894</v>
      </c>
      <c r="T40" s="10">
        <v>43367</v>
      </c>
      <c r="U40" s="14">
        <v>47.63</v>
      </c>
      <c r="V40" s="14">
        <v>7.9192999999999998</v>
      </c>
      <c r="W40" s="14">
        <v>39.710700000000003</v>
      </c>
      <c r="X40" s="11">
        <v>217</v>
      </c>
      <c r="Y40" s="10">
        <v>43370</v>
      </c>
      <c r="Z40" s="11">
        <v>9845154892</v>
      </c>
      <c r="AA40" s="12" t="s">
        <v>136</v>
      </c>
      <c r="AB40" s="11" t="s">
        <v>163</v>
      </c>
      <c r="AC40" s="12" t="s">
        <v>164</v>
      </c>
      <c r="AD40" s="11" t="s">
        <v>44</v>
      </c>
      <c r="AE40" s="12" t="s">
        <v>45</v>
      </c>
      <c r="AF40" s="14">
        <f t="shared" si="0"/>
        <v>0.4763</v>
      </c>
      <c r="AG40" s="11" t="s">
        <v>46</v>
      </c>
    </row>
    <row r="41" spans="1:33" x14ac:dyDescent="0.2">
      <c r="A41" s="8">
        <v>5771</v>
      </c>
      <c r="B41" s="9" t="s">
        <v>160</v>
      </c>
      <c r="C41" s="10">
        <v>43370</v>
      </c>
      <c r="D41" s="11">
        <v>195</v>
      </c>
      <c r="E41" s="12" t="s">
        <v>34</v>
      </c>
      <c r="F41" s="12" t="s">
        <v>35</v>
      </c>
      <c r="G41" s="12" t="s">
        <v>36</v>
      </c>
      <c r="H41" s="12" t="s">
        <v>37</v>
      </c>
      <c r="I41" s="11" t="s">
        <v>167</v>
      </c>
      <c r="J41" s="12" t="s">
        <v>168</v>
      </c>
      <c r="K41" s="13" t="s">
        <v>49</v>
      </c>
      <c r="L41" s="11" t="str">
        <f>"000020"</f>
        <v>000020</v>
      </c>
      <c r="M41" s="10">
        <v>42940</v>
      </c>
      <c r="N41" s="11" t="str">
        <f>"000029"</f>
        <v>000029</v>
      </c>
      <c r="O41" s="10">
        <v>42941</v>
      </c>
      <c r="P41" s="11" t="str">
        <f>"000029"</f>
        <v>000029</v>
      </c>
      <c r="Q41" s="10">
        <v>42941</v>
      </c>
      <c r="R41" s="11">
        <v>17</v>
      </c>
      <c r="S41" s="11" t="str">
        <f>"005976"</f>
        <v>005976</v>
      </c>
      <c r="T41" s="10">
        <v>43368</v>
      </c>
      <c r="U41" s="14">
        <v>49.83567</v>
      </c>
      <c r="V41" s="14">
        <v>7.4256000000000002</v>
      </c>
      <c r="W41" s="14">
        <v>42.410069999999997</v>
      </c>
      <c r="X41" s="11">
        <v>219</v>
      </c>
      <c r="Y41" s="10">
        <v>43370</v>
      </c>
      <c r="Z41" s="11">
        <v>9632977771</v>
      </c>
      <c r="AA41" s="12" t="s">
        <v>169</v>
      </c>
      <c r="AB41" s="11" t="s">
        <v>170</v>
      </c>
      <c r="AC41" s="12" t="s">
        <v>171</v>
      </c>
      <c r="AD41" s="11" t="s">
        <v>144</v>
      </c>
      <c r="AE41" s="12" t="s">
        <v>145</v>
      </c>
      <c r="AF41" s="14">
        <f t="shared" si="0"/>
        <v>0.49835669999999999</v>
      </c>
      <c r="AG41" s="11" t="s">
        <v>46</v>
      </c>
    </row>
    <row r="42" spans="1:33" x14ac:dyDescent="0.2">
      <c r="A42" s="8">
        <v>6355</v>
      </c>
      <c r="B42" s="9" t="s">
        <v>172</v>
      </c>
      <c r="C42" s="10">
        <v>43385</v>
      </c>
      <c r="D42" s="11">
        <v>195</v>
      </c>
      <c r="E42" s="12" t="s">
        <v>34</v>
      </c>
      <c r="F42" s="12" t="s">
        <v>35</v>
      </c>
      <c r="G42" s="12" t="s">
        <v>36</v>
      </c>
      <c r="H42" s="12" t="s">
        <v>37</v>
      </c>
      <c r="I42" s="11" t="s">
        <v>173</v>
      </c>
      <c r="J42" s="12" t="s">
        <v>174</v>
      </c>
      <c r="K42" s="13" t="s">
        <v>40</v>
      </c>
      <c r="L42" s="11" t="str">
        <f>"00a115"</f>
        <v>00a115</v>
      </c>
      <c r="M42" s="10">
        <v>42871</v>
      </c>
      <c r="N42" s="11" t="str">
        <f>"000109"</f>
        <v>000109</v>
      </c>
      <c r="O42" s="10">
        <v>43187</v>
      </c>
      <c r="P42" s="11" t="str">
        <f>"000173"</f>
        <v>000173</v>
      </c>
      <c r="Q42" s="10">
        <v>43190</v>
      </c>
      <c r="R42" s="11">
        <v>17</v>
      </c>
      <c r="S42" s="11" t="str">
        <f>"006266"</f>
        <v>006266</v>
      </c>
      <c r="T42" s="10">
        <v>43380</v>
      </c>
      <c r="U42" s="14">
        <v>24.891500000000001</v>
      </c>
      <c r="V42" s="14">
        <v>3.1558999999999999</v>
      </c>
      <c r="W42" s="14">
        <v>21.735600000000002</v>
      </c>
      <c r="X42" s="11">
        <v>228</v>
      </c>
      <c r="Y42" s="10">
        <v>43385</v>
      </c>
      <c r="Z42" s="11">
        <v>9845154892</v>
      </c>
      <c r="AA42" s="12" t="s">
        <v>136</v>
      </c>
      <c r="AB42" s="11" t="s">
        <v>108</v>
      </c>
      <c r="AC42" s="12" t="s">
        <v>109</v>
      </c>
      <c r="AD42" s="11" t="s">
        <v>44</v>
      </c>
      <c r="AE42" s="12" t="s">
        <v>45</v>
      </c>
      <c r="AF42" s="14">
        <f t="shared" si="0"/>
        <v>0.248915</v>
      </c>
      <c r="AG42" s="11" t="s">
        <v>46</v>
      </c>
    </row>
    <row r="43" spans="1:33" x14ac:dyDescent="0.2">
      <c r="A43" s="8">
        <v>6356</v>
      </c>
      <c r="B43" s="9" t="s">
        <v>172</v>
      </c>
      <c r="C43" s="10">
        <v>43385</v>
      </c>
      <c r="D43" s="11">
        <v>195</v>
      </c>
      <c r="E43" s="12" t="s">
        <v>34</v>
      </c>
      <c r="F43" s="12" t="s">
        <v>35</v>
      </c>
      <c r="G43" s="12" t="s">
        <v>36</v>
      </c>
      <c r="H43" s="12" t="s">
        <v>37</v>
      </c>
      <c r="I43" s="11" t="s">
        <v>173</v>
      </c>
      <c r="J43" s="12" t="s">
        <v>174</v>
      </c>
      <c r="K43" s="13" t="s">
        <v>40</v>
      </c>
      <c r="L43" s="11" t="str">
        <f>"00a115"</f>
        <v>00a115</v>
      </c>
      <c r="M43" s="10">
        <v>42871</v>
      </c>
      <c r="N43" s="11" t="str">
        <f>"000109"</f>
        <v>000109</v>
      </c>
      <c r="O43" s="10">
        <v>43187</v>
      </c>
      <c r="P43" s="11" t="str">
        <f>"000173"</f>
        <v>000173</v>
      </c>
      <c r="Q43" s="10">
        <v>43190</v>
      </c>
      <c r="R43" s="11">
        <v>17</v>
      </c>
      <c r="S43" s="11" t="str">
        <f>"006266"</f>
        <v>006266</v>
      </c>
      <c r="T43" s="10">
        <v>43380</v>
      </c>
      <c r="U43" s="14">
        <v>24.891500000000001</v>
      </c>
      <c r="V43" s="14">
        <v>3.1558999999999999</v>
      </c>
      <c r="W43" s="14">
        <v>21.735600000000002</v>
      </c>
      <c r="X43" s="11">
        <v>228</v>
      </c>
      <c r="Y43" s="10">
        <v>43385</v>
      </c>
      <c r="Z43" s="11">
        <v>9845154892</v>
      </c>
      <c r="AA43" s="12" t="s">
        <v>136</v>
      </c>
      <c r="AB43" s="11" t="s">
        <v>108</v>
      </c>
      <c r="AC43" s="12" t="s">
        <v>109</v>
      </c>
      <c r="AD43" s="11" t="s">
        <v>44</v>
      </c>
      <c r="AE43" s="12" t="s">
        <v>45</v>
      </c>
      <c r="AF43" s="14">
        <f t="shared" si="0"/>
        <v>0.248915</v>
      </c>
      <c r="AG43" s="11" t="s">
        <v>46</v>
      </c>
    </row>
    <row r="44" spans="1:33" x14ac:dyDescent="0.2">
      <c r="A44" s="8">
        <v>6357</v>
      </c>
      <c r="B44" s="9" t="s">
        <v>172</v>
      </c>
      <c r="C44" s="10">
        <v>43385</v>
      </c>
      <c r="D44" s="11">
        <v>195</v>
      </c>
      <c r="E44" s="12" t="s">
        <v>34</v>
      </c>
      <c r="F44" s="12" t="s">
        <v>35</v>
      </c>
      <c r="G44" s="12" t="s">
        <v>36</v>
      </c>
      <c r="H44" s="12" t="s">
        <v>37</v>
      </c>
      <c r="I44" s="11" t="s">
        <v>56</v>
      </c>
      <c r="J44" s="12" t="s">
        <v>57</v>
      </c>
      <c r="K44" s="13" t="s">
        <v>40</v>
      </c>
      <c r="L44" s="11" t="str">
        <f>"000343"</f>
        <v>000343</v>
      </c>
      <c r="M44" s="10">
        <v>43143</v>
      </c>
      <c r="N44" s="11" t="str">
        <f>"000098"</f>
        <v>000098</v>
      </c>
      <c r="O44" s="10">
        <v>43321</v>
      </c>
      <c r="P44" s="11" t="str">
        <f>"000206"</f>
        <v>000206</v>
      </c>
      <c r="Q44" s="10">
        <v>43326</v>
      </c>
      <c r="R44" s="11">
        <v>17</v>
      </c>
      <c r="S44" s="11" t="str">
        <f>"006411"</f>
        <v>006411</v>
      </c>
      <c r="T44" s="10">
        <v>43382</v>
      </c>
      <c r="U44" s="14">
        <v>18.071999999999999</v>
      </c>
      <c r="V44" s="14">
        <v>0.76780000000000004</v>
      </c>
      <c r="W44" s="14">
        <v>17.304200000000002</v>
      </c>
      <c r="X44" s="11">
        <v>233</v>
      </c>
      <c r="Y44" s="10">
        <v>43385</v>
      </c>
      <c r="Z44" s="11">
        <v>9845222227</v>
      </c>
      <c r="AA44" s="12" t="s">
        <v>41</v>
      </c>
      <c r="AB44" s="11" t="s">
        <v>42</v>
      </c>
      <c r="AC44" s="12" t="s">
        <v>43</v>
      </c>
      <c r="AD44" s="11" t="s">
        <v>44</v>
      </c>
      <c r="AE44" s="12" t="s">
        <v>45</v>
      </c>
      <c r="AF44" s="14">
        <f t="shared" si="0"/>
        <v>0.18071999999999999</v>
      </c>
      <c r="AG44" s="11" t="s">
        <v>113</v>
      </c>
    </row>
    <row r="45" spans="1:33" x14ac:dyDescent="0.2">
      <c r="A45" s="8">
        <v>7606</v>
      </c>
      <c r="B45" s="9" t="s">
        <v>175</v>
      </c>
      <c r="C45" s="10">
        <v>43437</v>
      </c>
      <c r="D45" s="11">
        <v>195</v>
      </c>
      <c r="E45" s="12" t="s">
        <v>34</v>
      </c>
      <c r="F45" s="12" t="s">
        <v>35</v>
      </c>
      <c r="G45" s="12" t="s">
        <v>36</v>
      </c>
      <c r="H45" s="12" t="s">
        <v>37</v>
      </c>
      <c r="I45" s="11" t="s">
        <v>176</v>
      </c>
      <c r="J45" s="12" t="s">
        <v>177</v>
      </c>
      <c r="K45" s="13" t="s">
        <v>40</v>
      </c>
      <c r="L45" s="11" t="str">
        <f>"000216"</f>
        <v>000216</v>
      </c>
      <c r="M45" s="10">
        <v>42817</v>
      </c>
      <c r="N45" s="11" t="str">
        <f>"000031"</f>
        <v>000031</v>
      </c>
      <c r="O45" s="10">
        <v>42875</v>
      </c>
      <c r="P45" s="11" t="str">
        <f>"000047"</f>
        <v>000047</v>
      </c>
      <c r="Q45" s="10">
        <v>42886</v>
      </c>
      <c r="R45" s="11">
        <v>17</v>
      </c>
      <c r="S45" s="11" t="str">
        <f>"007422"</f>
        <v>007422</v>
      </c>
      <c r="T45" s="10">
        <v>43421</v>
      </c>
      <c r="U45" s="14">
        <v>17.162199999999999</v>
      </c>
      <c r="V45" s="14">
        <v>2.4108999999999998</v>
      </c>
      <c r="W45" s="14">
        <v>14.751300000000001</v>
      </c>
      <c r="X45" s="11">
        <v>279</v>
      </c>
      <c r="Y45" s="10">
        <v>43437</v>
      </c>
      <c r="Z45" s="11">
        <v>9980335777</v>
      </c>
      <c r="AA45" s="12" t="s">
        <v>178</v>
      </c>
      <c r="AB45" s="11" t="s">
        <v>88</v>
      </c>
      <c r="AC45" s="12" t="s">
        <v>89</v>
      </c>
      <c r="AD45" s="11" t="s">
        <v>44</v>
      </c>
      <c r="AE45" s="12" t="s">
        <v>45</v>
      </c>
      <c r="AF45" s="14">
        <f t="shared" si="0"/>
        <v>0.171622</v>
      </c>
      <c r="AG45" s="11" t="s">
        <v>46</v>
      </c>
    </row>
    <row r="46" spans="1:33" x14ac:dyDescent="0.2">
      <c r="A46" s="8">
        <v>7607</v>
      </c>
      <c r="B46" s="9" t="s">
        <v>175</v>
      </c>
      <c r="C46" s="10">
        <v>43437</v>
      </c>
      <c r="D46" s="11">
        <v>195</v>
      </c>
      <c r="E46" s="12" t="s">
        <v>34</v>
      </c>
      <c r="F46" s="12" t="s">
        <v>35</v>
      </c>
      <c r="G46" s="12" t="s">
        <v>36</v>
      </c>
      <c r="H46" s="12" t="s">
        <v>37</v>
      </c>
      <c r="I46" s="11" t="s">
        <v>179</v>
      </c>
      <c r="J46" s="12" t="s">
        <v>180</v>
      </c>
      <c r="K46" s="13" t="s">
        <v>49</v>
      </c>
      <c r="L46" s="11" t="str">
        <f>"000238"</f>
        <v>000238</v>
      </c>
      <c r="M46" s="10">
        <v>42825</v>
      </c>
      <c r="N46" s="11" t="str">
        <f>"000033"</f>
        <v>000033</v>
      </c>
      <c r="O46" s="10">
        <v>42884</v>
      </c>
      <c r="P46" s="11" t="str">
        <f>"000055"</f>
        <v>000055</v>
      </c>
      <c r="Q46" s="10">
        <v>42886</v>
      </c>
      <c r="R46" s="11">
        <v>17</v>
      </c>
      <c r="S46" s="11" t="str">
        <f>"007425"</f>
        <v>007425</v>
      </c>
      <c r="T46" s="10">
        <v>43421</v>
      </c>
      <c r="U46" s="14">
        <v>49.945</v>
      </c>
      <c r="V46" s="14">
        <v>8.2916000000000007</v>
      </c>
      <c r="W46" s="14">
        <v>41.653399999999998</v>
      </c>
      <c r="X46" s="11">
        <v>279</v>
      </c>
      <c r="Y46" s="10">
        <v>43437</v>
      </c>
      <c r="Z46" s="11">
        <v>9845043439</v>
      </c>
      <c r="AA46" s="12" t="s">
        <v>136</v>
      </c>
      <c r="AB46" s="11" t="s">
        <v>181</v>
      </c>
      <c r="AC46" s="12" t="s">
        <v>182</v>
      </c>
      <c r="AD46" s="11" t="s">
        <v>44</v>
      </c>
      <c r="AE46" s="12" t="s">
        <v>45</v>
      </c>
      <c r="AF46" s="14">
        <f t="shared" si="0"/>
        <v>0.49945000000000001</v>
      </c>
      <c r="AG46" s="11" t="s">
        <v>46</v>
      </c>
    </row>
    <row r="47" spans="1:33" x14ac:dyDescent="0.2">
      <c r="A47" s="8">
        <v>7608</v>
      </c>
      <c r="B47" s="9" t="s">
        <v>175</v>
      </c>
      <c r="C47" s="10">
        <v>43437</v>
      </c>
      <c r="D47" s="11">
        <v>195</v>
      </c>
      <c r="E47" s="12" t="s">
        <v>34</v>
      </c>
      <c r="F47" s="12" t="s">
        <v>35</v>
      </c>
      <c r="G47" s="12" t="s">
        <v>36</v>
      </c>
      <c r="H47" s="12" t="s">
        <v>37</v>
      </c>
      <c r="I47" s="11" t="s">
        <v>183</v>
      </c>
      <c r="J47" s="12" t="s">
        <v>184</v>
      </c>
      <c r="K47" s="13" t="s">
        <v>40</v>
      </c>
      <c r="L47" s="11" t="str">
        <f>"00242A"</f>
        <v>00242A</v>
      </c>
      <c r="M47" s="10">
        <v>42825</v>
      </c>
      <c r="N47" s="11" t="str">
        <f>"000034"</f>
        <v>000034</v>
      </c>
      <c r="O47" s="10">
        <v>42884</v>
      </c>
      <c r="P47" s="11" t="str">
        <f>"000056"</f>
        <v>000056</v>
      </c>
      <c r="Q47" s="10">
        <v>42886</v>
      </c>
      <c r="R47" s="11">
        <v>17</v>
      </c>
      <c r="S47" s="11" t="str">
        <f>"007426"</f>
        <v>007426</v>
      </c>
      <c r="T47" s="10">
        <v>43421</v>
      </c>
      <c r="U47" s="14">
        <v>49.9375</v>
      </c>
      <c r="V47" s="14">
        <v>8.2914999999999992</v>
      </c>
      <c r="W47" s="14">
        <v>41.646000000000001</v>
      </c>
      <c r="X47" s="11">
        <v>279</v>
      </c>
      <c r="Y47" s="10">
        <v>43437</v>
      </c>
      <c r="Z47" s="11">
        <v>9845043439</v>
      </c>
      <c r="AA47" s="12" t="s">
        <v>136</v>
      </c>
      <c r="AB47" s="11" t="s">
        <v>181</v>
      </c>
      <c r="AC47" s="12" t="s">
        <v>182</v>
      </c>
      <c r="AD47" s="11" t="s">
        <v>44</v>
      </c>
      <c r="AE47" s="12" t="s">
        <v>45</v>
      </c>
      <c r="AF47" s="14">
        <f t="shared" si="0"/>
        <v>0.49937500000000001</v>
      </c>
      <c r="AG47" s="11" t="s">
        <v>46</v>
      </c>
    </row>
    <row r="48" spans="1:33" x14ac:dyDescent="0.2">
      <c r="A48" s="8">
        <v>7609</v>
      </c>
      <c r="B48" s="9" t="s">
        <v>175</v>
      </c>
      <c r="C48" s="10">
        <v>43437</v>
      </c>
      <c r="D48" s="11">
        <v>195</v>
      </c>
      <c r="E48" s="12" t="s">
        <v>34</v>
      </c>
      <c r="F48" s="12" t="s">
        <v>35</v>
      </c>
      <c r="G48" s="12" t="s">
        <v>36</v>
      </c>
      <c r="H48" s="12" t="s">
        <v>37</v>
      </c>
      <c r="I48" s="11" t="s">
        <v>185</v>
      </c>
      <c r="J48" s="12" t="s">
        <v>186</v>
      </c>
      <c r="K48" s="13" t="s">
        <v>40</v>
      </c>
      <c r="L48" s="11" t="str">
        <f>"000241"</f>
        <v>000241</v>
      </c>
      <c r="M48" s="10">
        <v>42825</v>
      </c>
      <c r="N48" s="11" t="str">
        <f>"000032"</f>
        <v>000032</v>
      </c>
      <c r="O48" s="10">
        <v>42884</v>
      </c>
      <c r="P48" s="11" t="str">
        <f>"000057"</f>
        <v>000057</v>
      </c>
      <c r="Q48" s="10">
        <v>42886</v>
      </c>
      <c r="R48" s="11">
        <v>17</v>
      </c>
      <c r="S48" s="11" t="str">
        <f>"007427"</f>
        <v>007427</v>
      </c>
      <c r="T48" s="10">
        <v>43421</v>
      </c>
      <c r="U48" s="14">
        <v>49.92</v>
      </c>
      <c r="V48" s="14">
        <v>8.2881999999999998</v>
      </c>
      <c r="W48" s="14">
        <v>41.631799999999998</v>
      </c>
      <c r="X48" s="11">
        <v>279</v>
      </c>
      <c r="Y48" s="10">
        <v>43437</v>
      </c>
      <c r="Z48" s="11">
        <v>9845043439</v>
      </c>
      <c r="AA48" s="12" t="s">
        <v>136</v>
      </c>
      <c r="AB48" s="11" t="s">
        <v>181</v>
      </c>
      <c r="AC48" s="12" t="s">
        <v>182</v>
      </c>
      <c r="AD48" s="11" t="s">
        <v>44</v>
      </c>
      <c r="AE48" s="12" t="s">
        <v>45</v>
      </c>
      <c r="AF48" s="14">
        <f t="shared" si="0"/>
        <v>0.49920000000000003</v>
      </c>
      <c r="AG48" s="11" t="s">
        <v>46</v>
      </c>
    </row>
    <row r="49" spans="1:33" x14ac:dyDescent="0.2">
      <c r="A49" s="8">
        <v>7610</v>
      </c>
      <c r="B49" s="9" t="s">
        <v>175</v>
      </c>
      <c r="C49" s="10">
        <v>43437</v>
      </c>
      <c r="D49" s="11">
        <v>195</v>
      </c>
      <c r="E49" s="12" t="s">
        <v>34</v>
      </c>
      <c r="F49" s="12" t="s">
        <v>35</v>
      </c>
      <c r="G49" s="12" t="s">
        <v>36</v>
      </c>
      <c r="H49" s="12" t="s">
        <v>37</v>
      </c>
      <c r="I49" s="11" t="s">
        <v>187</v>
      </c>
      <c r="J49" s="12" t="s">
        <v>188</v>
      </c>
      <c r="K49" s="13" t="s">
        <v>40</v>
      </c>
      <c r="L49" s="11" t="str">
        <f>"000240"</f>
        <v>000240</v>
      </c>
      <c r="M49" s="10">
        <v>42825</v>
      </c>
      <c r="N49" s="11" t="str">
        <f>"000035"</f>
        <v>000035</v>
      </c>
      <c r="O49" s="10">
        <v>42884</v>
      </c>
      <c r="P49" s="11" t="str">
        <f>"000062"</f>
        <v>000062</v>
      </c>
      <c r="Q49" s="10">
        <v>42886</v>
      </c>
      <c r="R49" s="11">
        <v>17</v>
      </c>
      <c r="S49" s="11" t="str">
        <f>"007431"</f>
        <v>007431</v>
      </c>
      <c r="T49" s="10">
        <v>43421</v>
      </c>
      <c r="U49" s="14">
        <v>49.991999999999997</v>
      </c>
      <c r="V49" s="14">
        <v>8.2889999999999997</v>
      </c>
      <c r="W49" s="14">
        <v>41.703000000000003</v>
      </c>
      <c r="X49" s="11">
        <v>279</v>
      </c>
      <c r="Y49" s="10">
        <v>43437</v>
      </c>
      <c r="Z49" s="11">
        <v>9845043439</v>
      </c>
      <c r="AA49" s="12" t="s">
        <v>136</v>
      </c>
      <c r="AB49" s="11" t="s">
        <v>181</v>
      </c>
      <c r="AC49" s="12" t="s">
        <v>182</v>
      </c>
      <c r="AD49" s="11" t="s">
        <v>44</v>
      </c>
      <c r="AE49" s="12" t="s">
        <v>45</v>
      </c>
      <c r="AF49" s="14">
        <f t="shared" si="0"/>
        <v>0.49991999999999998</v>
      </c>
      <c r="AG49" s="11" t="s">
        <v>46</v>
      </c>
    </row>
    <row r="50" spans="1:33" x14ac:dyDescent="0.2">
      <c r="A50" s="8">
        <v>9095</v>
      </c>
      <c r="B50" s="9" t="s">
        <v>189</v>
      </c>
      <c r="C50" s="10">
        <v>43508</v>
      </c>
      <c r="D50" s="11">
        <v>195</v>
      </c>
      <c r="E50" s="12" t="s">
        <v>34</v>
      </c>
      <c r="F50" s="12" t="s">
        <v>35</v>
      </c>
      <c r="G50" s="12" t="s">
        <v>36</v>
      </c>
      <c r="H50" s="12" t="s">
        <v>37</v>
      </c>
      <c r="I50" s="11" t="s">
        <v>190</v>
      </c>
      <c r="J50" s="12" t="s">
        <v>191</v>
      </c>
      <c r="K50" s="13" t="s">
        <v>40</v>
      </c>
      <c r="L50" s="11" t="str">
        <f>"000122"</f>
        <v>000122</v>
      </c>
      <c r="M50" s="10">
        <v>42661</v>
      </c>
      <c r="N50" s="11" t="str">
        <f>"000122"</f>
        <v>000122</v>
      </c>
      <c r="O50" s="10">
        <v>42825</v>
      </c>
      <c r="P50" s="11" t="str">
        <f>"000304"</f>
        <v>000304</v>
      </c>
      <c r="Q50" s="10">
        <v>42825</v>
      </c>
      <c r="R50" s="11"/>
      <c r="S50" s="11" t="str">
        <f>"008513"</f>
        <v>008513</v>
      </c>
      <c r="T50" s="10">
        <v>43468</v>
      </c>
      <c r="U50" s="14">
        <v>48.613999999999997</v>
      </c>
      <c r="V50" s="14">
        <v>8.1110000000000007</v>
      </c>
      <c r="W50" s="14">
        <v>40.503</v>
      </c>
      <c r="X50" s="11">
        <v>348</v>
      </c>
      <c r="Y50" s="10">
        <v>43508</v>
      </c>
      <c r="Z50" s="11">
        <v>9845183166</v>
      </c>
      <c r="AA50" s="12" t="s">
        <v>136</v>
      </c>
      <c r="AB50" s="11" t="s">
        <v>137</v>
      </c>
      <c r="AC50" s="12" t="s">
        <v>138</v>
      </c>
      <c r="AD50" s="11" t="s">
        <v>44</v>
      </c>
      <c r="AE50" s="12" t="s">
        <v>45</v>
      </c>
      <c r="AF50" s="14">
        <f t="shared" si="0"/>
        <v>0.48613999999999996</v>
      </c>
      <c r="AG50" s="11" t="s">
        <v>46</v>
      </c>
    </row>
    <row r="51" spans="1:33" x14ac:dyDescent="0.2">
      <c r="A51" s="8">
        <v>9534</v>
      </c>
      <c r="B51" s="9" t="s">
        <v>192</v>
      </c>
      <c r="C51" s="10">
        <v>43531</v>
      </c>
      <c r="D51" s="11">
        <v>195</v>
      </c>
      <c r="E51" s="12" t="s">
        <v>34</v>
      </c>
      <c r="F51" s="12" t="s">
        <v>35</v>
      </c>
      <c r="G51" s="12" t="s">
        <v>36</v>
      </c>
      <c r="H51" s="12" t="s">
        <v>37</v>
      </c>
      <c r="I51" s="11" t="s">
        <v>193</v>
      </c>
      <c r="J51" s="12" t="s">
        <v>194</v>
      </c>
      <c r="K51" s="13" t="s">
        <v>40</v>
      </c>
      <c r="L51" s="11" t="str">
        <f>"000239"</f>
        <v>000239</v>
      </c>
      <c r="M51" s="10">
        <v>42825</v>
      </c>
      <c r="N51" s="11" t="str">
        <f>"000051"</f>
        <v>000051</v>
      </c>
      <c r="O51" s="10">
        <v>42916</v>
      </c>
      <c r="P51" s="11" t="str">
        <f>"000094"</f>
        <v>000094</v>
      </c>
      <c r="Q51" s="10">
        <v>42916</v>
      </c>
      <c r="R51" s="11"/>
      <c r="S51" s="11" t="str">
        <f>"009549"</f>
        <v>009549</v>
      </c>
      <c r="T51" s="10">
        <v>43526</v>
      </c>
      <c r="U51" s="14">
        <v>49.982999999999997</v>
      </c>
      <c r="V51" s="14">
        <v>8.2978000000000005</v>
      </c>
      <c r="W51" s="14">
        <v>41.685200000000002</v>
      </c>
      <c r="X51" s="11">
        <v>370</v>
      </c>
      <c r="Y51" s="10">
        <v>43531</v>
      </c>
      <c r="Z51" s="11">
        <v>9845043439</v>
      </c>
      <c r="AA51" s="12" t="s">
        <v>195</v>
      </c>
      <c r="AB51" s="11" t="s">
        <v>181</v>
      </c>
      <c r="AC51" s="12" t="s">
        <v>182</v>
      </c>
      <c r="AD51" s="11" t="s">
        <v>44</v>
      </c>
      <c r="AE51" s="12" t="s">
        <v>45</v>
      </c>
      <c r="AF51" s="14">
        <f t="shared" si="0"/>
        <v>0.49983</v>
      </c>
      <c r="AG51" s="11" t="s">
        <v>46</v>
      </c>
    </row>
    <row r="52" spans="1:33" x14ac:dyDescent="0.2">
      <c r="A52" s="8">
        <v>9562</v>
      </c>
      <c r="B52" s="9" t="s">
        <v>192</v>
      </c>
      <c r="C52" s="10">
        <v>43531</v>
      </c>
      <c r="D52" s="11">
        <v>195</v>
      </c>
      <c r="E52" s="12" t="s">
        <v>34</v>
      </c>
      <c r="F52" s="12" t="s">
        <v>35</v>
      </c>
      <c r="G52" s="12" t="s">
        <v>36</v>
      </c>
      <c r="H52" s="12" t="s">
        <v>37</v>
      </c>
      <c r="I52" s="11" t="s">
        <v>196</v>
      </c>
      <c r="J52" s="12" t="s">
        <v>197</v>
      </c>
      <c r="K52" s="13" t="s">
        <v>40</v>
      </c>
      <c r="L52" s="11" t="str">
        <f>"000193"</f>
        <v>000193</v>
      </c>
      <c r="M52" s="10">
        <v>42800</v>
      </c>
      <c r="N52" s="11" t="str">
        <f>"000078"</f>
        <v>000078</v>
      </c>
      <c r="O52" s="10">
        <v>42916</v>
      </c>
      <c r="P52" s="11" t="str">
        <f>"000110"</f>
        <v>000110</v>
      </c>
      <c r="Q52" s="10">
        <v>42916</v>
      </c>
      <c r="R52" s="11"/>
      <c r="S52" s="11" t="str">
        <f>"009577"</f>
        <v>009577</v>
      </c>
      <c r="T52" s="10">
        <v>43526</v>
      </c>
      <c r="U52" s="14">
        <v>12.944599999999999</v>
      </c>
      <c r="V52" s="14">
        <v>1.9806999999999999</v>
      </c>
      <c r="W52" s="14">
        <v>10.963900000000001</v>
      </c>
      <c r="X52" s="11">
        <v>370</v>
      </c>
      <c r="Y52" s="10">
        <v>43531</v>
      </c>
      <c r="Z52" s="11">
        <v>9448064004</v>
      </c>
      <c r="AA52" s="12" t="s">
        <v>136</v>
      </c>
      <c r="AB52" s="11" t="s">
        <v>163</v>
      </c>
      <c r="AC52" s="12" t="s">
        <v>164</v>
      </c>
      <c r="AD52" s="11" t="s">
        <v>44</v>
      </c>
      <c r="AE52" s="12" t="s">
        <v>45</v>
      </c>
      <c r="AF52" s="14">
        <f t="shared" si="0"/>
        <v>0.12944600000000001</v>
      </c>
      <c r="AG52" s="11" t="s">
        <v>46</v>
      </c>
    </row>
    <row r="53" spans="1:33" x14ac:dyDescent="0.2">
      <c r="A53" s="8">
        <v>9641</v>
      </c>
      <c r="B53" s="9" t="s">
        <v>192</v>
      </c>
      <c r="C53" s="10">
        <v>43539</v>
      </c>
      <c r="D53" s="11">
        <v>195</v>
      </c>
      <c r="E53" s="12" t="s">
        <v>34</v>
      </c>
      <c r="F53" s="12" t="s">
        <v>35</v>
      </c>
      <c r="G53" s="12" t="s">
        <v>36</v>
      </c>
      <c r="H53" s="12" t="s">
        <v>37</v>
      </c>
      <c r="I53" s="11" t="s">
        <v>198</v>
      </c>
      <c r="J53" s="12" t="s">
        <v>199</v>
      </c>
      <c r="K53" s="13" t="s">
        <v>40</v>
      </c>
      <c r="L53" s="11" t="str">
        <f>"00a112"</f>
        <v>00a112</v>
      </c>
      <c r="M53" s="10">
        <v>42878</v>
      </c>
      <c r="N53" s="11" t="str">
        <f>"000081"</f>
        <v>000081</v>
      </c>
      <c r="O53" s="10">
        <v>42916</v>
      </c>
      <c r="P53" s="11" t="str">
        <f>"000129"</f>
        <v>000129</v>
      </c>
      <c r="Q53" s="10">
        <v>42916</v>
      </c>
      <c r="R53" s="11"/>
      <c r="S53" s="11" t="str">
        <f>"009679"</f>
        <v>009679</v>
      </c>
      <c r="T53" s="10">
        <v>43537</v>
      </c>
      <c r="U53" s="14">
        <v>18.541</v>
      </c>
      <c r="V53" s="14">
        <v>2.7308500000000002</v>
      </c>
      <c r="W53" s="14">
        <v>15.81015</v>
      </c>
      <c r="X53" s="11">
        <v>376</v>
      </c>
      <c r="Y53" s="10">
        <v>43539</v>
      </c>
      <c r="Z53" s="11">
        <v>9916997189</v>
      </c>
      <c r="AA53" s="12" t="s">
        <v>200</v>
      </c>
      <c r="AB53" s="11" t="s">
        <v>88</v>
      </c>
      <c r="AC53" s="12" t="s">
        <v>89</v>
      </c>
      <c r="AD53" s="11" t="s">
        <v>44</v>
      </c>
      <c r="AE53" s="12" t="s">
        <v>45</v>
      </c>
      <c r="AF53" s="14">
        <f t="shared" si="0"/>
        <v>0.18540999999999999</v>
      </c>
      <c r="AG53" s="11" t="s">
        <v>46</v>
      </c>
    </row>
    <row r="54" spans="1:33" x14ac:dyDescent="0.2">
      <c r="A54" s="8">
        <v>9642</v>
      </c>
      <c r="B54" s="9" t="s">
        <v>192</v>
      </c>
      <c r="C54" s="10">
        <v>43539</v>
      </c>
      <c r="D54" s="11">
        <v>195</v>
      </c>
      <c r="E54" s="12" t="s">
        <v>34</v>
      </c>
      <c r="F54" s="12" t="s">
        <v>35</v>
      </c>
      <c r="G54" s="12" t="s">
        <v>36</v>
      </c>
      <c r="H54" s="12" t="s">
        <v>37</v>
      </c>
      <c r="I54" s="11" t="s">
        <v>201</v>
      </c>
      <c r="J54" s="12" t="s">
        <v>202</v>
      </c>
      <c r="K54" s="13" t="s">
        <v>40</v>
      </c>
      <c r="L54" s="11" t="str">
        <f>"0aa113"</f>
        <v>0aa113</v>
      </c>
      <c r="M54" s="10">
        <v>42878</v>
      </c>
      <c r="N54" s="11" t="str">
        <f>"000080"</f>
        <v>000080</v>
      </c>
      <c r="O54" s="10">
        <v>42916</v>
      </c>
      <c r="P54" s="11" t="str">
        <f>"000130"</f>
        <v>000130</v>
      </c>
      <c r="Q54" s="10">
        <v>42916</v>
      </c>
      <c r="R54" s="11"/>
      <c r="S54" s="11" t="str">
        <f>"009680"</f>
        <v>009680</v>
      </c>
      <c r="T54" s="10">
        <v>43537</v>
      </c>
      <c r="U54" s="14">
        <v>18.605</v>
      </c>
      <c r="V54" s="14">
        <v>2.7410000000000001</v>
      </c>
      <c r="W54" s="14">
        <v>15.864000000000001</v>
      </c>
      <c r="X54" s="11">
        <v>376</v>
      </c>
      <c r="Y54" s="10">
        <v>43539</v>
      </c>
      <c r="Z54" s="11">
        <v>9916997189</v>
      </c>
      <c r="AA54" s="12" t="s">
        <v>200</v>
      </c>
      <c r="AB54" s="11" t="s">
        <v>88</v>
      </c>
      <c r="AC54" s="12" t="s">
        <v>89</v>
      </c>
      <c r="AD54" s="11" t="s">
        <v>44</v>
      </c>
      <c r="AE54" s="12" t="s">
        <v>45</v>
      </c>
      <c r="AF54" s="14">
        <f t="shared" si="0"/>
        <v>0.18604999999999999</v>
      </c>
      <c r="AG54" s="11" t="s">
        <v>46</v>
      </c>
    </row>
    <row r="55" spans="1:33" x14ac:dyDescent="0.2">
      <c r="A55" s="8">
        <v>9643</v>
      </c>
      <c r="B55" s="9" t="s">
        <v>192</v>
      </c>
      <c r="C55" s="10">
        <v>43539</v>
      </c>
      <c r="D55" s="11">
        <v>195</v>
      </c>
      <c r="E55" s="12" t="s">
        <v>34</v>
      </c>
      <c r="F55" s="12" t="s">
        <v>35</v>
      </c>
      <c r="G55" s="12" t="s">
        <v>36</v>
      </c>
      <c r="H55" s="12" t="s">
        <v>37</v>
      </c>
      <c r="I55" s="11" t="s">
        <v>203</v>
      </c>
      <c r="J55" s="12" t="s">
        <v>204</v>
      </c>
      <c r="K55" s="13" t="s">
        <v>40</v>
      </c>
      <c r="L55" s="11" t="str">
        <f>"0aa111"</f>
        <v>0aa111</v>
      </c>
      <c r="M55" s="10">
        <v>42878</v>
      </c>
      <c r="N55" s="11" t="str">
        <f>"000079"</f>
        <v>000079</v>
      </c>
      <c r="O55" s="10">
        <v>42916</v>
      </c>
      <c r="P55" s="11" t="str">
        <f>"000131"</f>
        <v>000131</v>
      </c>
      <c r="Q55" s="10">
        <v>42916</v>
      </c>
      <c r="R55" s="11"/>
      <c r="S55" s="11" t="str">
        <f>"009681"</f>
        <v>009681</v>
      </c>
      <c r="T55" s="10">
        <v>43537</v>
      </c>
      <c r="U55" s="14">
        <v>18.605</v>
      </c>
      <c r="V55" s="14">
        <v>2.7402000000000002</v>
      </c>
      <c r="W55" s="14">
        <v>15.864800000000001</v>
      </c>
      <c r="X55" s="11">
        <v>376</v>
      </c>
      <c r="Y55" s="10">
        <v>43539</v>
      </c>
      <c r="Z55" s="11">
        <v>9916997189</v>
      </c>
      <c r="AA55" s="12" t="s">
        <v>205</v>
      </c>
      <c r="AB55" s="11" t="s">
        <v>88</v>
      </c>
      <c r="AC55" s="12" t="s">
        <v>89</v>
      </c>
      <c r="AD55" s="11" t="s">
        <v>44</v>
      </c>
      <c r="AE55" s="12" t="s">
        <v>45</v>
      </c>
      <c r="AF55" s="14">
        <f t="shared" si="0"/>
        <v>0.18604999999999999</v>
      </c>
      <c r="AG55" s="11" t="s">
        <v>46</v>
      </c>
    </row>
    <row r="56" spans="1:33" x14ac:dyDescent="0.2">
      <c r="A56" s="8">
        <v>9649</v>
      </c>
      <c r="B56" s="9" t="s">
        <v>192</v>
      </c>
      <c r="C56" s="10">
        <v>43539</v>
      </c>
      <c r="D56" s="11">
        <v>195</v>
      </c>
      <c r="E56" s="12" t="s">
        <v>34</v>
      </c>
      <c r="F56" s="12" t="s">
        <v>35</v>
      </c>
      <c r="G56" s="12" t="s">
        <v>36</v>
      </c>
      <c r="H56" s="12" t="s">
        <v>37</v>
      </c>
      <c r="I56" s="11" t="s">
        <v>206</v>
      </c>
      <c r="J56" s="12" t="s">
        <v>207</v>
      </c>
      <c r="K56" s="13" t="s">
        <v>76</v>
      </c>
      <c r="L56" s="11" t="str">
        <f>"00a110"</f>
        <v>00a110</v>
      </c>
      <c r="M56" s="10">
        <v>42878</v>
      </c>
      <c r="N56" s="11" t="str">
        <f>"000083"</f>
        <v>000083</v>
      </c>
      <c r="O56" s="10">
        <v>42916</v>
      </c>
      <c r="P56" s="11" t="str">
        <f>"000132"</f>
        <v>000132</v>
      </c>
      <c r="Q56" s="10">
        <v>42916</v>
      </c>
      <c r="R56" s="11"/>
      <c r="S56" s="11" t="str">
        <f>"009694"</f>
        <v>009694</v>
      </c>
      <c r="T56" s="10">
        <v>43537</v>
      </c>
      <c r="U56" s="14">
        <v>18.592500000000001</v>
      </c>
      <c r="V56" s="14">
        <v>2.7387999999999999</v>
      </c>
      <c r="W56" s="14">
        <v>15.8537</v>
      </c>
      <c r="X56" s="11">
        <v>376</v>
      </c>
      <c r="Y56" s="10">
        <v>43539</v>
      </c>
      <c r="Z56" s="11">
        <v>9916997189</v>
      </c>
      <c r="AA56" s="12" t="s">
        <v>200</v>
      </c>
      <c r="AB56" s="11" t="s">
        <v>88</v>
      </c>
      <c r="AC56" s="12" t="s">
        <v>89</v>
      </c>
      <c r="AD56" s="11" t="s">
        <v>44</v>
      </c>
      <c r="AE56" s="12" t="s">
        <v>45</v>
      </c>
      <c r="AF56" s="14">
        <f t="shared" si="0"/>
        <v>0.18592500000000001</v>
      </c>
      <c r="AG56" s="11" t="s">
        <v>46</v>
      </c>
    </row>
    <row r="57" spans="1:33" x14ac:dyDescent="0.2">
      <c r="A57" s="8">
        <v>9650</v>
      </c>
      <c r="B57" s="9" t="s">
        <v>192</v>
      </c>
      <c r="C57" s="10">
        <v>43539</v>
      </c>
      <c r="D57" s="11">
        <v>195</v>
      </c>
      <c r="E57" s="12" t="s">
        <v>34</v>
      </c>
      <c r="F57" s="12" t="s">
        <v>35</v>
      </c>
      <c r="G57" s="12" t="s">
        <v>36</v>
      </c>
      <c r="H57" s="12" t="s">
        <v>37</v>
      </c>
      <c r="I57" s="11" t="s">
        <v>208</v>
      </c>
      <c r="J57" s="12" t="s">
        <v>209</v>
      </c>
      <c r="K57" s="13" t="s">
        <v>40</v>
      </c>
      <c r="L57" s="11" t="str">
        <f>"00a109"</f>
        <v>00a109</v>
      </c>
      <c r="M57" s="10">
        <v>42878</v>
      </c>
      <c r="N57" s="11" t="str">
        <f>"000082"</f>
        <v>000082</v>
      </c>
      <c r="O57" s="10">
        <v>42916</v>
      </c>
      <c r="P57" s="11" t="str">
        <f>"000133"</f>
        <v>000133</v>
      </c>
      <c r="Q57" s="10">
        <v>42916</v>
      </c>
      <c r="R57" s="11"/>
      <c r="S57" s="11" t="str">
        <f>"009695"</f>
        <v>009695</v>
      </c>
      <c r="T57" s="10">
        <v>43537</v>
      </c>
      <c r="U57" s="14">
        <v>18.55</v>
      </c>
      <c r="V57" s="14">
        <v>2.7330000000000001</v>
      </c>
      <c r="W57" s="14">
        <v>15.817</v>
      </c>
      <c r="X57" s="11">
        <v>376</v>
      </c>
      <c r="Y57" s="10">
        <v>43539</v>
      </c>
      <c r="Z57" s="11">
        <v>9916997189</v>
      </c>
      <c r="AA57" s="12" t="s">
        <v>200</v>
      </c>
      <c r="AB57" s="11" t="s">
        <v>88</v>
      </c>
      <c r="AC57" s="12" t="s">
        <v>89</v>
      </c>
      <c r="AD57" s="11" t="s">
        <v>44</v>
      </c>
      <c r="AE57" s="12" t="s">
        <v>45</v>
      </c>
      <c r="AF57" s="14">
        <f t="shared" si="0"/>
        <v>0.1855</v>
      </c>
      <c r="AG57" s="11" t="s">
        <v>46</v>
      </c>
    </row>
    <row r="58" spans="1:33" x14ac:dyDescent="0.2">
      <c r="A58" s="8">
        <v>9651</v>
      </c>
      <c r="B58" s="9" t="s">
        <v>192</v>
      </c>
      <c r="C58" s="10">
        <v>43539</v>
      </c>
      <c r="D58" s="11">
        <v>195</v>
      </c>
      <c r="E58" s="12" t="s">
        <v>34</v>
      </c>
      <c r="F58" s="12" t="s">
        <v>35</v>
      </c>
      <c r="G58" s="12" t="s">
        <v>36</v>
      </c>
      <c r="H58" s="12" t="s">
        <v>37</v>
      </c>
      <c r="I58" s="11" t="s">
        <v>210</v>
      </c>
      <c r="J58" s="12" t="s">
        <v>211</v>
      </c>
      <c r="K58" s="13" t="s">
        <v>40</v>
      </c>
      <c r="L58" s="11" t="str">
        <f>"000013"</f>
        <v>000013</v>
      </c>
      <c r="M58" s="10">
        <v>42836</v>
      </c>
      <c r="N58" s="11" t="str">
        <f>"000085"</f>
        <v>000085</v>
      </c>
      <c r="O58" s="10">
        <v>42916</v>
      </c>
      <c r="P58" s="11" t="str">
        <f>"000134"</f>
        <v>000134</v>
      </c>
      <c r="Q58" s="10">
        <v>42916</v>
      </c>
      <c r="R58" s="11"/>
      <c r="S58" s="11" t="str">
        <f>"009696"</f>
        <v>009696</v>
      </c>
      <c r="T58" s="10">
        <v>43537</v>
      </c>
      <c r="U58" s="14">
        <v>24.085999999999999</v>
      </c>
      <c r="V58" s="14">
        <v>3.5495000000000001</v>
      </c>
      <c r="W58" s="14">
        <v>20.5365</v>
      </c>
      <c r="X58" s="11">
        <v>376</v>
      </c>
      <c r="Y58" s="10">
        <v>43539</v>
      </c>
      <c r="Z58" s="11">
        <v>9980010778</v>
      </c>
      <c r="AA58" s="12" t="s">
        <v>212</v>
      </c>
      <c r="AB58" s="11" t="s">
        <v>88</v>
      </c>
      <c r="AC58" s="12" t="s">
        <v>89</v>
      </c>
      <c r="AD58" s="11" t="s">
        <v>44</v>
      </c>
      <c r="AE58" s="12" t="s">
        <v>45</v>
      </c>
      <c r="AF58" s="14">
        <f t="shared" si="0"/>
        <v>0.24085999999999999</v>
      </c>
      <c r="AG58" s="11" t="s">
        <v>46</v>
      </c>
    </row>
    <row r="59" spans="1:33" x14ac:dyDescent="0.2">
      <c r="A59" s="8">
        <v>9716</v>
      </c>
      <c r="B59" s="9" t="s">
        <v>192</v>
      </c>
      <c r="C59" s="10">
        <v>43539</v>
      </c>
      <c r="D59" s="11">
        <v>195</v>
      </c>
      <c r="E59" s="12" t="s">
        <v>34</v>
      </c>
      <c r="F59" s="12" t="s">
        <v>35</v>
      </c>
      <c r="G59" s="12" t="s">
        <v>36</v>
      </c>
      <c r="H59" s="12" t="s">
        <v>37</v>
      </c>
      <c r="I59" s="11" t="s">
        <v>213</v>
      </c>
      <c r="J59" s="12" t="s">
        <v>214</v>
      </c>
      <c r="K59" s="13" t="s">
        <v>40</v>
      </c>
      <c r="L59" s="11" t="str">
        <f>"000a11"</f>
        <v>000a11</v>
      </c>
      <c r="M59" s="10">
        <v>42831</v>
      </c>
      <c r="N59" s="11" t="str">
        <f>"000057"</f>
        <v>000057</v>
      </c>
      <c r="O59" s="10">
        <v>42916</v>
      </c>
      <c r="P59" s="11" t="str">
        <f>"000101"</f>
        <v>000101</v>
      </c>
      <c r="Q59" s="10">
        <v>42916</v>
      </c>
      <c r="R59" s="11"/>
      <c r="S59" s="11" t="str">
        <f>"009777"</f>
        <v>009777</v>
      </c>
      <c r="T59" s="10">
        <v>43538</v>
      </c>
      <c r="U59" s="14">
        <v>20.297000000000001</v>
      </c>
      <c r="V59" s="14">
        <v>3.1472000000000002</v>
      </c>
      <c r="W59" s="14">
        <v>17.149799999999999</v>
      </c>
      <c r="X59" s="11">
        <v>376</v>
      </c>
      <c r="Y59" s="10">
        <v>43539</v>
      </c>
      <c r="Z59" s="11">
        <v>9900007121</v>
      </c>
      <c r="AA59" s="12" t="s">
        <v>215</v>
      </c>
      <c r="AB59" s="11" t="s">
        <v>88</v>
      </c>
      <c r="AC59" s="12" t="s">
        <v>89</v>
      </c>
      <c r="AD59" s="11" t="s">
        <v>44</v>
      </c>
      <c r="AE59" s="12" t="s">
        <v>45</v>
      </c>
      <c r="AF59" s="14">
        <f t="shared" si="0"/>
        <v>0.20297000000000001</v>
      </c>
      <c r="AG59" s="11" t="s">
        <v>46</v>
      </c>
    </row>
    <row r="60" spans="1:33" x14ac:dyDescent="0.2">
      <c r="A60" s="8">
        <v>9717</v>
      </c>
      <c r="B60" s="9" t="s">
        <v>192</v>
      </c>
      <c r="C60" s="10">
        <v>43539</v>
      </c>
      <c r="D60" s="11">
        <v>195</v>
      </c>
      <c r="E60" s="12" t="s">
        <v>34</v>
      </c>
      <c r="F60" s="12" t="s">
        <v>35</v>
      </c>
      <c r="G60" s="12" t="s">
        <v>36</v>
      </c>
      <c r="H60" s="12" t="s">
        <v>37</v>
      </c>
      <c r="I60" s="11" t="s">
        <v>216</v>
      </c>
      <c r="J60" s="12" t="s">
        <v>217</v>
      </c>
      <c r="K60" s="13" t="s">
        <v>40</v>
      </c>
      <c r="L60" s="11" t="str">
        <f>"0000a9"</f>
        <v>0000a9</v>
      </c>
      <c r="M60" s="10">
        <v>42831</v>
      </c>
      <c r="N60" s="11" t="str">
        <f>"000059"</f>
        <v>000059</v>
      </c>
      <c r="O60" s="10">
        <v>42916</v>
      </c>
      <c r="P60" s="11" t="str">
        <f>"000102"</f>
        <v>000102</v>
      </c>
      <c r="Q60" s="10">
        <v>42916</v>
      </c>
      <c r="R60" s="11"/>
      <c r="S60" s="11" t="str">
        <f>"009778"</f>
        <v>009778</v>
      </c>
      <c r="T60" s="10">
        <v>43538</v>
      </c>
      <c r="U60" s="14">
        <v>20.28</v>
      </c>
      <c r="V60" s="14">
        <v>3.1349999999999998</v>
      </c>
      <c r="W60" s="14">
        <v>17.145</v>
      </c>
      <c r="X60" s="11">
        <v>376</v>
      </c>
      <c r="Y60" s="10">
        <v>43539</v>
      </c>
      <c r="Z60" s="11">
        <v>9900007121</v>
      </c>
      <c r="AA60" s="12" t="s">
        <v>215</v>
      </c>
      <c r="AB60" s="11" t="s">
        <v>88</v>
      </c>
      <c r="AC60" s="12" t="s">
        <v>89</v>
      </c>
      <c r="AD60" s="11" t="s">
        <v>44</v>
      </c>
      <c r="AE60" s="12" t="s">
        <v>45</v>
      </c>
      <c r="AF60" s="14">
        <f t="shared" si="0"/>
        <v>0.20280000000000001</v>
      </c>
      <c r="AG60" s="11" t="s">
        <v>46</v>
      </c>
    </row>
    <row r="61" spans="1:33" x14ac:dyDescent="0.2">
      <c r="A61" s="8">
        <v>9718</v>
      </c>
      <c r="B61" s="9" t="s">
        <v>192</v>
      </c>
      <c r="C61" s="10">
        <v>43539</v>
      </c>
      <c r="D61" s="11">
        <v>195</v>
      </c>
      <c r="E61" s="12" t="s">
        <v>34</v>
      </c>
      <c r="F61" s="12" t="s">
        <v>35</v>
      </c>
      <c r="G61" s="12" t="s">
        <v>36</v>
      </c>
      <c r="H61" s="12" t="s">
        <v>37</v>
      </c>
      <c r="I61" s="11" t="s">
        <v>218</v>
      </c>
      <c r="J61" s="12" t="s">
        <v>219</v>
      </c>
      <c r="K61" s="13" t="s">
        <v>40</v>
      </c>
      <c r="L61" s="11" t="str">
        <f>"000a10"</f>
        <v>000a10</v>
      </c>
      <c r="M61" s="10">
        <v>42831</v>
      </c>
      <c r="N61" s="11" t="str">
        <f>"000058"</f>
        <v>000058</v>
      </c>
      <c r="O61" s="10">
        <v>42916</v>
      </c>
      <c r="P61" s="11" t="str">
        <f>"000103"</f>
        <v>000103</v>
      </c>
      <c r="Q61" s="10">
        <v>42916</v>
      </c>
      <c r="R61" s="11"/>
      <c r="S61" s="11" t="str">
        <f>"009779"</f>
        <v>009779</v>
      </c>
      <c r="T61" s="10">
        <v>43538</v>
      </c>
      <c r="U61" s="14">
        <v>20.224</v>
      </c>
      <c r="V61" s="14">
        <v>3.1381000000000001</v>
      </c>
      <c r="W61" s="14">
        <v>17.085899999999999</v>
      </c>
      <c r="X61" s="11">
        <v>376</v>
      </c>
      <c r="Y61" s="10">
        <v>43539</v>
      </c>
      <c r="Z61" s="11">
        <v>9900007121</v>
      </c>
      <c r="AA61" s="12" t="s">
        <v>215</v>
      </c>
      <c r="AB61" s="11" t="s">
        <v>88</v>
      </c>
      <c r="AC61" s="12" t="s">
        <v>89</v>
      </c>
      <c r="AD61" s="11" t="s">
        <v>44</v>
      </c>
      <c r="AE61" s="12" t="s">
        <v>45</v>
      </c>
      <c r="AF61" s="14">
        <f t="shared" si="0"/>
        <v>0.20224</v>
      </c>
      <c r="AG61" s="11" t="s">
        <v>46</v>
      </c>
    </row>
    <row r="62" spans="1:33" x14ac:dyDescent="0.2">
      <c r="A62" s="8">
        <v>9745</v>
      </c>
      <c r="B62" s="9" t="s">
        <v>192</v>
      </c>
      <c r="C62" s="10">
        <v>43544</v>
      </c>
      <c r="D62" s="11">
        <v>195</v>
      </c>
      <c r="E62" s="12" t="s">
        <v>34</v>
      </c>
      <c r="F62" s="12" t="s">
        <v>35</v>
      </c>
      <c r="G62" s="12" t="s">
        <v>36</v>
      </c>
      <c r="H62" s="12" t="s">
        <v>37</v>
      </c>
      <c r="I62" s="11" t="s">
        <v>220</v>
      </c>
      <c r="J62" s="12" t="s">
        <v>221</v>
      </c>
      <c r="K62" s="13" t="s">
        <v>222</v>
      </c>
      <c r="L62" s="11" t="str">
        <f>"000469"</f>
        <v>000469</v>
      </c>
      <c r="M62" s="10">
        <v>43179</v>
      </c>
      <c r="N62" s="11" t="str">
        <f>"000056"</f>
        <v>000056</v>
      </c>
      <c r="O62" s="10">
        <v>43249</v>
      </c>
      <c r="P62" s="11" t="str">
        <f>"000078"</f>
        <v>000078</v>
      </c>
      <c r="Q62" s="10">
        <v>43250</v>
      </c>
      <c r="R62" s="11"/>
      <c r="S62" s="11" t="str">
        <f>"009781"</f>
        <v>009781</v>
      </c>
      <c r="T62" s="10">
        <v>43538</v>
      </c>
      <c r="U62" s="14">
        <v>9.99</v>
      </c>
      <c r="V62" s="14">
        <v>1.1094999999999999</v>
      </c>
      <c r="W62" s="14">
        <v>8.8804999999999996</v>
      </c>
      <c r="X62" s="11">
        <v>378</v>
      </c>
      <c r="Y62" s="10">
        <v>43544</v>
      </c>
      <c r="Z62" s="11">
        <v>9448064004</v>
      </c>
      <c r="AA62" s="12" t="s">
        <v>77</v>
      </c>
      <c r="AB62" s="11" t="s">
        <v>98</v>
      </c>
      <c r="AC62" s="12" t="s">
        <v>99</v>
      </c>
      <c r="AD62" s="11" t="s">
        <v>44</v>
      </c>
      <c r="AE62" s="12" t="s">
        <v>45</v>
      </c>
      <c r="AF62" s="14">
        <f t="shared" si="0"/>
        <v>9.9900000000000003E-2</v>
      </c>
      <c r="AG62" s="11" t="s">
        <v>113</v>
      </c>
    </row>
    <row r="63" spans="1:33" x14ac:dyDescent="0.2">
      <c r="A63" s="8">
        <v>9891</v>
      </c>
      <c r="B63" s="9" t="s">
        <v>192</v>
      </c>
      <c r="C63" s="10">
        <v>43551</v>
      </c>
      <c r="D63" s="11">
        <v>195</v>
      </c>
      <c r="E63" s="12" t="s">
        <v>34</v>
      </c>
      <c r="F63" s="12" t="s">
        <v>35</v>
      </c>
      <c r="G63" s="12" t="s">
        <v>36</v>
      </c>
      <c r="H63" s="12" t="s">
        <v>37</v>
      </c>
      <c r="I63" s="11" t="s">
        <v>223</v>
      </c>
      <c r="J63" s="12" t="s">
        <v>224</v>
      </c>
      <c r="K63" s="13" t="s">
        <v>225</v>
      </c>
      <c r="L63" s="11" t="str">
        <f>"000434"</f>
        <v>000434</v>
      </c>
      <c r="M63" s="10">
        <v>43172</v>
      </c>
      <c r="N63" s="11" t="str">
        <f>"000131"</f>
        <v>000131</v>
      </c>
      <c r="O63" s="10">
        <v>43455</v>
      </c>
      <c r="P63" s="11" t="str">
        <f>"000341"</f>
        <v>000341</v>
      </c>
      <c r="Q63" s="10">
        <v>43462</v>
      </c>
      <c r="R63" s="11"/>
      <c r="S63" s="11" t="str">
        <f>"009980"</f>
        <v>009980</v>
      </c>
      <c r="T63" s="10">
        <v>43550</v>
      </c>
      <c r="U63" s="14">
        <v>73.41</v>
      </c>
      <c r="V63" s="14">
        <v>7.6757</v>
      </c>
      <c r="W63" s="14">
        <v>65.734300000000005</v>
      </c>
      <c r="X63" s="11">
        <v>387</v>
      </c>
      <c r="Y63" s="10">
        <v>43551</v>
      </c>
      <c r="Z63" s="11">
        <v>9845154892</v>
      </c>
      <c r="AA63" s="12" t="s">
        <v>226</v>
      </c>
      <c r="AB63" s="11" t="s">
        <v>227</v>
      </c>
      <c r="AC63" s="12" t="s">
        <v>228</v>
      </c>
      <c r="AD63" s="11" t="s">
        <v>44</v>
      </c>
      <c r="AE63" s="12" t="s">
        <v>45</v>
      </c>
      <c r="AF63" s="14">
        <f t="shared" si="0"/>
        <v>0.73409999999999997</v>
      </c>
      <c r="AG63" s="11" t="s">
        <v>113</v>
      </c>
    </row>
    <row r="64" spans="1:33" x14ac:dyDescent="0.2">
      <c r="A64" s="8">
        <v>9898</v>
      </c>
      <c r="B64" s="9" t="s">
        <v>192</v>
      </c>
      <c r="C64" s="10">
        <v>43552</v>
      </c>
      <c r="D64" s="11">
        <v>195</v>
      </c>
      <c r="E64" s="12" t="s">
        <v>34</v>
      </c>
      <c r="F64" s="12" t="s">
        <v>35</v>
      </c>
      <c r="G64" s="12" t="s">
        <v>36</v>
      </c>
      <c r="H64" s="12" t="s">
        <v>37</v>
      </c>
      <c r="I64" s="11" t="s">
        <v>229</v>
      </c>
      <c r="J64" s="12" t="s">
        <v>230</v>
      </c>
      <c r="K64" s="13" t="s">
        <v>40</v>
      </c>
      <c r="L64" s="11" t="str">
        <f>"000192"</f>
        <v>000192</v>
      </c>
      <c r="M64" s="10">
        <v>42800</v>
      </c>
      <c r="N64" s="11" t="str">
        <f>"000007"</f>
        <v>000007</v>
      </c>
      <c r="O64" s="10">
        <v>42853</v>
      </c>
      <c r="P64" s="11" t="str">
        <f>"000020"</f>
        <v>000020</v>
      </c>
      <c r="Q64" s="10">
        <v>42853</v>
      </c>
      <c r="R64" s="11"/>
      <c r="S64" s="11" t="str">
        <f>"009904"</f>
        <v>009904</v>
      </c>
      <c r="T64" s="10">
        <v>43549</v>
      </c>
      <c r="U64" s="14">
        <v>47.09</v>
      </c>
      <c r="V64" s="14">
        <v>7.7995999999999999</v>
      </c>
      <c r="W64" s="14">
        <v>39.290399999999998</v>
      </c>
      <c r="X64" s="11">
        <v>388</v>
      </c>
      <c r="Y64" s="10">
        <v>43552</v>
      </c>
      <c r="Z64" s="11">
        <v>9845154892</v>
      </c>
      <c r="AA64" s="12" t="s">
        <v>136</v>
      </c>
      <c r="AB64" s="11" t="s">
        <v>163</v>
      </c>
      <c r="AC64" s="12" t="s">
        <v>164</v>
      </c>
      <c r="AD64" s="11" t="s">
        <v>44</v>
      </c>
      <c r="AE64" s="12" t="s">
        <v>45</v>
      </c>
      <c r="AF64" s="14">
        <f t="shared" si="0"/>
        <v>0.47090000000000004</v>
      </c>
      <c r="AG64" s="11" t="s">
        <v>46</v>
      </c>
    </row>
    <row r="65" spans="1:33" x14ac:dyDescent="0.2">
      <c r="A65" s="8">
        <v>9899</v>
      </c>
      <c r="B65" s="9" t="s">
        <v>192</v>
      </c>
      <c r="C65" s="10">
        <v>43552</v>
      </c>
      <c r="D65" s="11">
        <v>195</v>
      </c>
      <c r="E65" s="12" t="s">
        <v>34</v>
      </c>
      <c r="F65" s="12" t="s">
        <v>35</v>
      </c>
      <c r="G65" s="12" t="s">
        <v>36</v>
      </c>
      <c r="H65" s="12" t="s">
        <v>37</v>
      </c>
      <c r="I65" s="11" t="s">
        <v>231</v>
      </c>
      <c r="J65" s="12" t="s">
        <v>232</v>
      </c>
      <c r="K65" s="13" t="s">
        <v>40</v>
      </c>
      <c r="L65" s="11" t="str">
        <f>"000191"</f>
        <v>000191</v>
      </c>
      <c r="M65" s="10">
        <v>42800</v>
      </c>
      <c r="N65" s="11" t="str">
        <f>"000010"</f>
        <v>000010</v>
      </c>
      <c r="O65" s="10">
        <v>42853</v>
      </c>
      <c r="P65" s="11" t="str">
        <f>"000021"</f>
        <v>000021</v>
      </c>
      <c r="Q65" s="10">
        <v>42853</v>
      </c>
      <c r="R65" s="11"/>
      <c r="S65" s="11" t="str">
        <f>"009905"</f>
        <v>009905</v>
      </c>
      <c r="T65" s="10">
        <v>43549</v>
      </c>
      <c r="U65" s="14">
        <v>46.87</v>
      </c>
      <c r="V65" s="14">
        <v>7.6871999999999998</v>
      </c>
      <c r="W65" s="14">
        <v>39.1828</v>
      </c>
      <c r="X65" s="11">
        <v>388</v>
      </c>
      <c r="Y65" s="10">
        <v>43552</v>
      </c>
      <c r="Z65" s="11">
        <v>9845154892</v>
      </c>
      <c r="AA65" s="12" t="s">
        <v>136</v>
      </c>
      <c r="AB65" s="11" t="s">
        <v>163</v>
      </c>
      <c r="AC65" s="12" t="s">
        <v>164</v>
      </c>
      <c r="AD65" s="11" t="s">
        <v>44</v>
      </c>
      <c r="AE65" s="12" t="s">
        <v>45</v>
      </c>
      <c r="AF65" s="14">
        <f t="shared" si="0"/>
        <v>0.46869999999999995</v>
      </c>
      <c r="AG65" s="11" t="s">
        <v>46</v>
      </c>
    </row>
  </sheetData>
  <sortState ref="A2:AG12362">
    <sortCondition ref="D2:D12362"/>
    <sortCondition ref="C2:C1236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1st Apr 2018 31st Mar 2019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2019-03-05T06:25:51Z</dcterms:created>
  <dcterms:modified xsi:type="dcterms:W3CDTF">2019-06-14T08:46:55Z</dcterms:modified>
</cp:coreProperties>
</file>