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1" i="1" l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<sst xmlns="http://schemas.openxmlformats.org/spreadsheetml/2006/main" count="1014" uniqueCount="266">
  <si>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</si>
  <si>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</si>
  <si>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</si>
  <si>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</si>
  <si>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</si>
  <si>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</si>
  <si>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</si>
  <si>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</si>
  <si>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</si>
  <si>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</si>
  <si>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</si>
  <si>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</si>
  <si>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</si>
  <si>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</si>
  <si>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</si>
  <si>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</si>
  <si>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</si>
  <si>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</si>
  <si>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</si>
  <si>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</si>
  <si>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</si>
  <si>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</si>
  <si>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</si>
  <si>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</si>
  <si>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</si>
  <si>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</si>
  <si>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</si>
  <si>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</si>
  <si>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</si>
  <si>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</si>
  <si>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</si>
  <si>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</si>
  <si>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</si>
  <si>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</si>
  <si>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Nagavara</t>
  </si>
  <si>
    <t>HBR Layout</t>
  </si>
  <si>
    <t>Sarvagna Nagara</t>
  </si>
  <si>
    <t>East</t>
  </si>
  <si>
    <t>023-16-000022</t>
  </si>
  <si>
    <t>ENGAGING TRACTOR AND LABOURS FOR ANNUAL MAINTENANCE IN WARD NO 23</t>
  </si>
  <si>
    <t>Other Ward Works</t>
  </si>
  <si>
    <t>M/s Excel Construtions,</t>
  </si>
  <si>
    <t>P1771</t>
  </si>
  <si>
    <t>Zone Works - POW Works</t>
  </si>
  <si>
    <t>ddo082</t>
  </si>
  <si>
    <t xml:space="preserve"> Assistant Executive Engineer H B R Layout East Zone</t>
  </si>
  <si>
    <t>Pending</t>
  </si>
  <si>
    <t>023-17-000054</t>
  </si>
  <si>
    <t>Engagement of Gangman and Hiring of Tractor Tippers for cleaning and Maintenance of road side drains and other cleaning works in works in ward no 23</t>
  </si>
  <si>
    <t>D.M.Kumar,</t>
  </si>
  <si>
    <t>P3110</t>
  </si>
  <si>
    <t>14th Finance Commission Grant Works</t>
  </si>
  <si>
    <t>May</t>
  </si>
  <si>
    <t>023-16-000004</t>
  </si>
  <si>
    <t>CONSTRUCTION OF WATERSTORAGE SUMP AND PUMP ROOM NEAR KAUSER MASJID IN WARD NO.23</t>
  </si>
  <si>
    <t>Water &amp; Sanitary</t>
  </si>
  <si>
    <t xml:space="preserve">G.C.S.Construction,(Prop G.Chandra), </t>
  </si>
  <si>
    <t>023-17-000007</t>
  </si>
  <si>
    <t>Package -1 Comprehensiv e development of roads and drains at ward no 23,24, 30 under Nagarothana Grants 2016-17</t>
  </si>
  <si>
    <t>Roads &amp; Drivablility</t>
  </si>
  <si>
    <t>M/s Shri. Senthurvelan Infras,</t>
  </si>
  <si>
    <t>P3158</t>
  </si>
  <si>
    <t>SIP Infrastructure Project works</t>
  </si>
  <si>
    <t>Spill Over</t>
  </si>
  <si>
    <t>023-18-000029</t>
  </si>
  <si>
    <t>CONSTRUCTION OF TAILORING CENTER AT SAMADHANANAGAR IN WARD NO 23</t>
  </si>
  <si>
    <t>The Technical MAnager-01, KRIDL,</t>
  </si>
  <si>
    <t>P1878</t>
  </si>
  <si>
    <t>18per - Works (Bhagyajyothi, Sooru / Neeru Yojane and General) (54 Lakhs / New Wards)</t>
  </si>
  <si>
    <t>Current</t>
  </si>
  <si>
    <t>June</t>
  </si>
  <si>
    <t>023-14-000037</t>
  </si>
  <si>
    <t xml:space="preserve">Improvements roads and drains at Hidayathnagara,Mukthinagara and Muniswamappa Layout in ward no 23 </t>
  </si>
  <si>
    <t>The Tehnical Manager-01,</t>
  </si>
  <si>
    <t>P2957</t>
  </si>
  <si>
    <t>Comprehensive Development of Siillover works in Sarvagna nagar Consituency</t>
  </si>
  <si>
    <t>023-18-000020</t>
  </si>
  <si>
    <t>Drilling of Borewell and Providing Drinking water facility in ward no 23 Nagawara</t>
  </si>
  <si>
    <t>Drinking Water</t>
  </si>
  <si>
    <t>Technical Manager-01, East Zone,</t>
  </si>
  <si>
    <t>P3293</t>
  </si>
  <si>
    <t>14th Finance Commission Works - Drinking Water</t>
  </si>
  <si>
    <t>023-18-000043</t>
  </si>
  <si>
    <t>Improvements to Drains and Roads at 10th Cross Rashad Nagara and Surrounding area in Ward No.23 ( 10th cross and 11th cross Rashadnagara)</t>
  </si>
  <si>
    <t>Footpaths &amp; Walkability</t>
  </si>
  <si>
    <t xml:space="preserve">Technical Manager KRIDL </t>
  </si>
  <si>
    <t>P3111</t>
  </si>
  <si>
    <t>State Finance Commission Untied Grant Works</t>
  </si>
  <si>
    <t>023-18-000044</t>
  </si>
  <si>
    <t>Improvements to Drains and Roads at Main and Cross Roads of Byrappa Layout and Surrounding area in Ward No.23 (1st Cross, 2nd Cross, 2nd Main Byrappa layout)</t>
  </si>
  <si>
    <t>023-18-000038</t>
  </si>
  <si>
    <t>Improvements to Roads and Drains at 14th Cross Umarnagara and Kausar Masjid area in Ward No.23</t>
  </si>
  <si>
    <t>023-18-000039</t>
  </si>
  <si>
    <t>Improvements to roads and Drains at Govindapura yellamma temple road and Shiva matta road in Ward No.23 Nagawara</t>
  </si>
  <si>
    <t>the Technical Manager-01, KRIDL,</t>
  </si>
  <si>
    <t>023-18-000051</t>
  </si>
  <si>
    <t>Improvements to roads and drains at 17th cross Umarnagar (Opp to Dominik school ) in ward no 23</t>
  </si>
  <si>
    <t xml:space="preserve">TECHNICAL MANAGER KRIDL </t>
  </si>
  <si>
    <t>P3296</t>
  </si>
  <si>
    <t>14th Finance Commission Works - Road and Footpath Maintenance</t>
  </si>
  <si>
    <t>023-18-000048</t>
  </si>
  <si>
    <t>Maintenance of CA Site at Vyalikaval layout in ward no 23</t>
  </si>
  <si>
    <t>TECHNICAL MANAGER KRIDL</t>
  </si>
  <si>
    <t>P3292</t>
  </si>
  <si>
    <t>14th Finance Commission Works - Community Property Maintenance (including Parks)</t>
  </si>
  <si>
    <t>023-18-000047</t>
  </si>
  <si>
    <t>Maintenance of Burrial Grounds in ward no 23</t>
  </si>
  <si>
    <t>P3291</t>
  </si>
  <si>
    <t>14th Fin  -Maintenance of Cremotorium, Burial Grounds</t>
  </si>
  <si>
    <t>023-18-000032</t>
  </si>
  <si>
    <t>PROVIDING STREET LIGHTS AT CHUNA LANE 2 AND SURROUNDING AREA IN WARD NO 23</t>
  </si>
  <si>
    <t>M/s KRIDL</t>
  </si>
  <si>
    <t>ddo089</t>
  </si>
  <si>
    <t xml:space="preserve"> Assistant Executive Engineer Electrical East Zone</t>
  </si>
  <si>
    <t>023-18-000035</t>
  </si>
  <si>
    <t>PROVIDING STREET LIGHTS AT GANDHINAGARA AND SURROUNDING AREA IN WARD NO 23</t>
  </si>
  <si>
    <t>023-18-000031</t>
  </si>
  <si>
    <t>PROVIDING STREET LIGHTS AT CHUNA LANE 1 AND SURROUNDING AREA IN WARD NO 23</t>
  </si>
  <si>
    <t>023-18-000034</t>
  </si>
  <si>
    <t>PROVIDING STREET LIGHTS AT SAMADHANANAGARA AND SURROUNDING AREA IN WARD NO 23</t>
  </si>
  <si>
    <t>023-18-000033</t>
  </si>
  <si>
    <t>PROVIDING STREET LIGHTS AT CHUNA LANE 3 AND SURROUNDING AREA IN WARD NO 23</t>
  </si>
  <si>
    <t>M/s KRIDL The Technical Manager(East)</t>
  </si>
  <si>
    <t>023-18-000036</t>
  </si>
  <si>
    <t>PROVIDING STREET LIGHTS AT VEERANNAPALYA AK COLONY AND SURROUNDING AREA IN WARD NO 23</t>
  </si>
  <si>
    <t>023-18-000037</t>
  </si>
  <si>
    <t>PROVIDING STREET LIGHTS AT GOVINDAPURA AK COLONY AND SURROUNDING AREA IN WARD NO 23</t>
  </si>
  <si>
    <t>023-18-000030</t>
  </si>
  <si>
    <t>PROVIDING STREET LIGHTS AT LIDKAR COLONY AND SURROUNDING AREA IN WARD NO 23</t>
  </si>
  <si>
    <t>023-18-000040</t>
  </si>
  <si>
    <t>Improvements to Drains and Roads at Sampangi Ramaiah layout in Ward No.23 Nagawara</t>
  </si>
  <si>
    <t>The Technical Manager-01, KRIDL,</t>
  </si>
  <si>
    <t>023-18-000045</t>
  </si>
  <si>
    <t>Improvements to Drain at Sandhyogappa layout and Surrounding area in Ward No.23. Nagawara</t>
  </si>
  <si>
    <t>023-16-000006</t>
  </si>
  <si>
    <t>IMPROVEMENTS TO DRIANS AT 7TH CROSS OF GANDHINAGARA IN WARD NO.23</t>
  </si>
  <si>
    <t>S.Balakrishnareddy,</t>
  </si>
  <si>
    <t>July</t>
  </si>
  <si>
    <t>023-18-000041</t>
  </si>
  <si>
    <t>Construction of Drain at Gandhinagara in Ward No.23. (9th Cross to 7th Cross Gandhinagara)</t>
  </si>
  <si>
    <t>023-16-000030</t>
  </si>
  <si>
    <t>Providing of Streetlights, Control Switches , Control Wire Etc., to Nagavara ward 23</t>
  </si>
  <si>
    <t>17-</t>
  </si>
  <si>
    <t>M/s.Lakshmikantha Electricals</t>
  </si>
  <si>
    <t>P0287</t>
  </si>
  <si>
    <t>M and R to Electrical Crematoria</t>
  </si>
  <si>
    <t>023-16-000007</t>
  </si>
  <si>
    <t>IMPROVEMENTS TO DRIANS AT 8TH CROSS OF GANDHINAGARA IN WARD NO.24</t>
  </si>
  <si>
    <t>Nasirulla,</t>
  </si>
  <si>
    <t>023-16-000010</t>
  </si>
  <si>
    <t>PROVIDING NAME BOARDS IN WARD NO.23</t>
  </si>
  <si>
    <t>Sri.Mohamed shafiulla,</t>
  </si>
  <si>
    <t>023-18-000042</t>
  </si>
  <si>
    <t>Construction of Drain at Chuna Lane-1 from Nagawara Main road to SWD in Ward no 23</t>
  </si>
  <si>
    <t>M/s KRIDL, The Technical Manager-01,</t>
  </si>
  <si>
    <t>314-12-000009</t>
  </si>
  <si>
    <t>Annual Street light maintenance at ward no 23 and 24 Package-E9</t>
  </si>
  <si>
    <t>HI-TECH ELECTRICALS</t>
  </si>
  <si>
    <t>P0300</t>
  </si>
  <si>
    <t>M and R to Street Lights - Replacement of Burnt Bulbs etc. (Package)</t>
  </si>
  <si>
    <t>023-16-000001</t>
  </si>
  <si>
    <t>Operation and Maintenance of street lights at Nagavara ward no 23 Package E16 for one year.</t>
  </si>
  <si>
    <t>M/s Powertech Electricals</t>
  </si>
  <si>
    <t>023-16-000002</t>
  </si>
  <si>
    <t>RE DOING ROAD CUT PORTIONS AND CONCRETE PATCH WORKS IN WARD NO.23</t>
  </si>
  <si>
    <t>Sri.Nanjaiah, (NLR Constructions Copany Rep By Najaiah)</t>
  </si>
  <si>
    <t>August</t>
  </si>
  <si>
    <t>023-17-000016</t>
  </si>
  <si>
    <t>Providing Watersupply Pipe line For Public taps at Gandhinagara, Samadhanagara, Hidayathnagara and Surrounding area in Ward No.23 Nagawara</t>
  </si>
  <si>
    <t>M.Tayub Ahmed,</t>
  </si>
  <si>
    <t>023-17-000017</t>
  </si>
  <si>
    <t>Maintanance of Borewell and Providing water supply to in ward-23</t>
  </si>
  <si>
    <t>M.Taiyub Ahmed,</t>
  </si>
  <si>
    <t>023-17-000003</t>
  </si>
  <si>
    <t>Renovation of Community Toilets at Basavalingappa Nagar-2 in Ward No. 23 Nagawara</t>
  </si>
  <si>
    <t>Health &amp; Sanitation</t>
  </si>
  <si>
    <t>M.Srinivasa,</t>
  </si>
  <si>
    <t>023-16-000038</t>
  </si>
  <si>
    <t>REMOVING OF DEBRIS IN WARD NO 23 NAGAWARA</t>
  </si>
  <si>
    <t>023-16-000031</t>
  </si>
  <si>
    <t>DESILTING OF DRAINS AND REMOVING OF DEBRIS AT GANDHI NAGAR 1ST STAGE IN WARD NO 23</t>
  </si>
  <si>
    <t>023-16-000009</t>
  </si>
  <si>
    <t>IMPROVEMENTS TO CROSS ROADS UNDER ST.MARYS STREET IN WARD NO.23</t>
  </si>
  <si>
    <t>D.M.Kumar</t>
  </si>
  <si>
    <t>023-16-000032</t>
  </si>
  <si>
    <t>DESILTING OF DRAINS AND REMOVING OF DEBRIS AT GANDHI NAGAR 7TH CROSS 8TH CROSS AND 9TH CROSS IN WARD NO 23</t>
  </si>
  <si>
    <t>023-16-000034</t>
  </si>
  <si>
    <t>DESILTING OF DRAIN AT GOOGAPPA LAYOUT IN WARD NO 23</t>
  </si>
  <si>
    <t>023-16-000035</t>
  </si>
  <si>
    <t>DESILTING OF DRAIN AND REMOVING OF DEBRIS AT SARVODAYA NAGARA IN WARD NO 23</t>
  </si>
  <si>
    <t>023-16-000033</t>
  </si>
  <si>
    <t>REMOVING OF DEBRIS AT GOOGAPPA LAYOUT BESIDE SWD IN WARD NO 23</t>
  </si>
  <si>
    <t>023-17-000013</t>
  </si>
  <si>
    <t>Desilting of Drains and Removing of Debris in ward no 23 Nagawara</t>
  </si>
  <si>
    <t xml:space="preserve">S.Balakrishnareddy, </t>
  </si>
  <si>
    <t>023-14-000017</t>
  </si>
  <si>
    <t>IMPROVEMENTS TO DRAINS FROM SARVODAYANAGARA 1ST CROSS TO SHAMPURA RAILWAY TRACK ON SARVODAYANAGARA MAIN ROAD IN WARD NO 23</t>
  </si>
  <si>
    <t>C.Loganathan,</t>
  </si>
  <si>
    <t>September</t>
  </si>
  <si>
    <t>023-16-000003</t>
  </si>
  <si>
    <t>IMPROVEMENTS TO DRAINS AT VEERANNAPALYA GOVT SCHOOL ROAD IN WARD NO.23</t>
  </si>
  <si>
    <t>023-16-000011</t>
  </si>
  <si>
    <t>IMPROVEMENTS TO DRAIN AT 2ND A AND 2ND B CROSS AT SAMADHANANAGARA IN WARD NO.23</t>
  </si>
  <si>
    <t>October</t>
  </si>
  <si>
    <t>023-18-000046</t>
  </si>
  <si>
    <t>Emergency works in HBR Layout Sub division in Ward No-23,24,30</t>
  </si>
  <si>
    <t>M/s KRIDL, The Techn ical Manager-01,</t>
  </si>
  <si>
    <t>023-17-000033</t>
  </si>
  <si>
    <t>Improvements to Drain at Vyalikaval Layout in Ward No.23.</t>
  </si>
  <si>
    <t>M/s Civil Experts Consultants &amp; Testing Centre,</t>
  </si>
  <si>
    <t>023-18-000049</t>
  </si>
  <si>
    <t>Maintenance of publice toilet in ward no 23</t>
  </si>
  <si>
    <t>P3294</t>
  </si>
  <si>
    <t>14th Finance Commission Works - General Public ToiletandSeptage Maintenance</t>
  </si>
  <si>
    <t>023-18-000052</t>
  </si>
  <si>
    <t>Providing chain link fencing for storm water drain at AMC College in ward no 23</t>
  </si>
  <si>
    <t>Storm Water Drains</t>
  </si>
  <si>
    <t>P3297</t>
  </si>
  <si>
    <t>14th Finance Commission Grants - SWD Works</t>
  </si>
  <si>
    <t>November</t>
  </si>
  <si>
    <t>023-16-000008</t>
  </si>
  <si>
    <t>IMPROVEMENTS TO 9TH CROSS AT GANDHINAGARA IN WARD NO.23</t>
  </si>
  <si>
    <t>January</t>
  </si>
  <si>
    <t>023-17-000055</t>
  </si>
  <si>
    <t>Providing CC Camera at Garbage Block Spots in ward no 23</t>
  </si>
  <si>
    <t>Crime &amp; Safety</t>
  </si>
  <si>
    <t xml:space="preserve">M/s KRIDL, </t>
  </si>
  <si>
    <t>023-18-000349</t>
  </si>
  <si>
    <t xml:space="preserve">Improvements to Roads to Little Gleady School and A.K.Colony Area Roads in Ward No.23. </t>
  </si>
  <si>
    <t xml:space="preserve">M/s KRIDL, The Terchnical Manager-01, </t>
  </si>
  <si>
    <t>ddo081</t>
  </si>
  <si>
    <t xml:space="preserve"> Assistant Executive Engineer Maruthysena Nagar East Zone</t>
  </si>
  <si>
    <t>023-18-000348</t>
  </si>
  <si>
    <t xml:space="preserve">Construction of RCC Drain 1st Cross. 2nd Cross. 3rd Cross and Gandhinagara 2nd Stage in Ward No.23. </t>
  </si>
  <si>
    <t xml:space="preserve">M/s KRIDL, The Technical Manager-01, </t>
  </si>
  <si>
    <t>023-18-000353</t>
  </si>
  <si>
    <t xml:space="preserve">Improvements to Roads and Drains at Rashad Nagara and Surrounding area in Ward No.23. Nagawara of HBR layout Sub division. </t>
  </si>
  <si>
    <t>023-18-000347</t>
  </si>
  <si>
    <t xml:space="preserve">Construction of RCC Drain and Foot Path at Railway Gate muneshwara Layout Veeranna Palya in Ward No.23. </t>
  </si>
  <si>
    <t xml:space="preserve">M/s KRIDL, The Technical Manager-001, </t>
  </si>
  <si>
    <t>023-18-000352</t>
  </si>
  <si>
    <t xml:space="preserve">Construction of RCC Drain and Foot Path at Basavanagara 6th Cross and Opp Roads in Ward No.23. </t>
  </si>
  <si>
    <t>023-18-000350</t>
  </si>
  <si>
    <t xml:space="preserve">Construction of RCC Drain at Indrajith Layout in Ward No.23. </t>
  </si>
  <si>
    <t>023-18-000345</t>
  </si>
  <si>
    <t xml:space="preserve">Improvement to Foot Path and Drains at Shampura Main Road From Nagawara Main Road to Railway Track in Ward No.23. </t>
  </si>
  <si>
    <t>023-18-000354</t>
  </si>
  <si>
    <t xml:space="preserve">Improvements to Roads and Drains at Umar Nagara and Surrounding area in Ward No.23. Nagawara of HBR Layout Sub-division. </t>
  </si>
  <si>
    <t>023-18-000346</t>
  </si>
  <si>
    <t xml:space="preserve">Improvement to drains and Foot Path at Church Road in Veeranna Palya in Ward No.23. </t>
  </si>
  <si>
    <t>M/s KRIDL,  The Technical Manager-01,</t>
  </si>
  <si>
    <t>February</t>
  </si>
  <si>
    <t>023-17-000057</t>
  </si>
  <si>
    <t>Supply of Gym Equipments to Sarvagna nagara Constituency</t>
  </si>
  <si>
    <t>Trees, Parks &amp; Playgrounds</t>
  </si>
  <si>
    <t xml:space="preserve">M/s KRIDL </t>
  </si>
  <si>
    <t>P3075</t>
  </si>
  <si>
    <t>Special comprehensive development works in Bangalore city (Bangalore city in charge Minister Discretionary Grants)</t>
  </si>
  <si>
    <t>ddo075</t>
  </si>
  <si>
    <t xml:space="preserve"> Executive Engineer Project East Zone</t>
  </si>
  <si>
    <t>March</t>
  </si>
  <si>
    <t>023-18-000302</t>
  </si>
  <si>
    <t xml:space="preserve">Development Works to Indira Canteen in Nagawara Ward No. 23 </t>
  </si>
  <si>
    <t>Indira Canteen</t>
  </si>
  <si>
    <t>P3106</t>
  </si>
  <si>
    <t>Nagarothana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</si>
</sst>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tabSelected="1" workbookViewId="0">
      <pane ySplit="1" topLeftCell="A2" activePane="bottomLeft" state="frozen"/>
      <selection activeCell="H1" sqref="H1"/>
      <selection pane="bottomLeft" activeCell="D9" sqref="D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348</v>
      </c>
      <c r="B2" s="9" t="s">
        <v>33</v>
      </c>
      <c r="C2" s="10">
        <v>43200</v>
      </c>
      <c r="D2" s="11">
        <v>23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"000031"</f>
        <v>000031</v>
      </c>
      <c r="M2" s="10">
        <v>42537</v>
      </c>
      <c r="N2" s="11" t="str">
        <f>"000069"</f>
        <v>000069</v>
      </c>
      <c r="O2" s="10">
        <v>42704</v>
      </c>
      <c r="P2" s="11" t="str">
        <f>"000313"</f>
        <v>000313</v>
      </c>
      <c r="Q2" s="10">
        <v>42704</v>
      </c>
      <c r="R2" s="11">
        <v>16</v>
      </c>
      <c r="S2" s="11" t="str">
        <f>"000393"</f>
        <v>000393</v>
      </c>
      <c r="T2" s="10">
        <v>43197</v>
      </c>
      <c r="U2" s="14">
        <v>5.7651399999999997</v>
      </c>
      <c r="V2" s="14">
        <v>0.39500000000000002</v>
      </c>
      <c r="W2" s="14">
        <v>5.3701400000000001</v>
      </c>
      <c r="X2" s="11">
        <v>10</v>
      </c>
      <c r="Y2" s="10">
        <v>43200</v>
      </c>
      <c r="Z2" s="11">
        <v>9886057553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5.7651399999999998E-2</v>
      </c>
      <c r="AG2" s="11" t="s">
        <v>46</v>
      </c>
    </row>
    <row r="3" spans="1:33" x14ac:dyDescent="0.2">
      <c r="A3" s="8">
        <v>349</v>
      </c>
      <c r="B3" s="9" t="s">
        <v>33</v>
      </c>
      <c r="C3" s="10">
        <v>43200</v>
      </c>
      <c r="D3" s="11">
        <v>23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"0.0050"</f>
        <v>0.0050</v>
      </c>
      <c r="M3" s="10">
        <v>42908</v>
      </c>
      <c r="N3" s="11" t="str">
        <f>"000120"</f>
        <v>000120</v>
      </c>
      <c r="O3" s="10">
        <v>43181</v>
      </c>
      <c r="P3" s="11" t="str">
        <f>"000398"</f>
        <v>000398</v>
      </c>
      <c r="Q3" s="10">
        <v>43181</v>
      </c>
      <c r="R3" s="11">
        <v>17</v>
      </c>
      <c r="S3" s="11" t="str">
        <f>"000442"</f>
        <v>000442</v>
      </c>
      <c r="T3" s="10">
        <v>43199</v>
      </c>
      <c r="U3" s="14">
        <v>5.1879600000000003</v>
      </c>
      <c r="V3" s="14">
        <v>5.8000000000000003E-2</v>
      </c>
      <c r="W3" s="14">
        <v>5.1299599999999996</v>
      </c>
      <c r="X3" s="11">
        <v>13</v>
      </c>
      <c r="Y3" s="10">
        <v>43200</v>
      </c>
      <c r="Z3" s="11">
        <v>9743053015</v>
      </c>
      <c r="AA3" s="12" t="s">
        <v>49</v>
      </c>
      <c r="AB3" s="11" t="s">
        <v>50</v>
      </c>
      <c r="AC3" s="12" t="s">
        <v>51</v>
      </c>
      <c r="AD3" s="11" t="s">
        <v>44</v>
      </c>
      <c r="AE3" s="12" t="s">
        <v>45</v>
      </c>
      <c r="AF3" s="14">
        <v>5.1879600000000005E-2</v>
      </c>
      <c r="AG3" s="11" t="s">
        <v>46</v>
      </c>
    </row>
    <row r="4" spans="1:33" x14ac:dyDescent="0.2">
      <c r="A4" s="8">
        <v>807</v>
      </c>
      <c r="B4" s="9" t="s">
        <v>52</v>
      </c>
      <c r="C4" s="10">
        <v>43225</v>
      </c>
      <c r="D4" s="11">
        <v>23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55</v>
      </c>
      <c r="L4" s="11" t="str">
        <f>"000179"</f>
        <v>000179</v>
      </c>
      <c r="M4" s="10">
        <v>42760</v>
      </c>
      <c r="N4" s="11" t="str">
        <f>"000146"</f>
        <v>000146</v>
      </c>
      <c r="O4" s="10">
        <v>42824</v>
      </c>
      <c r="P4" s="11" t="str">
        <f>"000542"</f>
        <v>000542</v>
      </c>
      <c r="Q4" s="10">
        <v>42825</v>
      </c>
      <c r="R4" s="11">
        <v>16</v>
      </c>
      <c r="S4" s="11" t="str">
        <f>"001026"</f>
        <v>001026</v>
      </c>
      <c r="T4" s="10">
        <v>43223</v>
      </c>
      <c r="U4" s="14">
        <v>9.7679799999999997</v>
      </c>
      <c r="V4" s="14">
        <v>0.72026000000000001</v>
      </c>
      <c r="W4" s="14">
        <v>9.04772</v>
      </c>
      <c r="X4" s="11">
        <v>38</v>
      </c>
      <c r="Y4" s="10">
        <v>43225</v>
      </c>
      <c r="Z4" s="11">
        <v>123456789</v>
      </c>
      <c r="AA4" s="12" t="s">
        <v>56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9.7679799999999997E-2</v>
      </c>
      <c r="AG4" s="11" t="s">
        <v>46</v>
      </c>
    </row>
    <row r="5" spans="1:33" x14ac:dyDescent="0.2">
      <c r="A5" s="8">
        <v>1291</v>
      </c>
      <c r="B5" s="9" t="s">
        <v>52</v>
      </c>
      <c r="C5" s="10">
        <v>43241</v>
      </c>
      <c r="D5" s="11">
        <v>23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57</v>
      </c>
      <c r="J5" s="12" t="s">
        <v>58</v>
      </c>
      <c r="K5" s="13" t="s">
        <v>59</v>
      </c>
      <c r="L5" s="11" t="str">
        <f>"000204"</f>
        <v>000204</v>
      </c>
      <c r="M5" s="10">
        <v>43112</v>
      </c>
      <c r="N5" s="11" t="str">
        <f>"000016"</f>
        <v>000016</v>
      </c>
      <c r="O5" s="10">
        <v>43229</v>
      </c>
      <c r="P5" s="11" t="str">
        <f>"000032"</f>
        <v>000032</v>
      </c>
      <c r="Q5" s="10">
        <v>43229</v>
      </c>
      <c r="R5" s="11">
        <v>17</v>
      </c>
      <c r="S5" s="11" t="str">
        <f>"001659"</f>
        <v>001659</v>
      </c>
      <c r="T5" s="10">
        <v>43239</v>
      </c>
      <c r="U5" s="14">
        <v>274.48840999999999</v>
      </c>
      <c r="V5" s="14">
        <v>13.366</v>
      </c>
      <c r="W5" s="14">
        <v>261.12241</v>
      </c>
      <c r="X5" s="11">
        <v>55</v>
      </c>
      <c r="Y5" s="10">
        <v>43241</v>
      </c>
      <c r="Z5" s="11">
        <v>9036304747</v>
      </c>
      <c r="AA5" s="12" t="s">
        <v>60</v>
      </c>
      <c r="AB5" s="11" t="s">
        <v>61</v>
      </c>
      <c r="AC5" s="12" t="s">
        <v>62</v>
      </c>
      <c r="AD5" s="11" t="s">
        <v>44</v>
      </c>
      <c r="AE5" s="12" t="s">
        <v>45</v>
      </c>
      <c r="AF5" s="14">
        <v>2.7448840999999997</v>
      </c>
      <c r="AG5" s="11" t="s">
        <v>63</v>
      </c>
    </row>
    <row r="6" spans="1:33" x14ac:dyDescent="0.2">
      <c r="A6" s="8">
        <v>1413</v>
      </c>
      <c r="B6" s="9" t="s">
        <v>52</v>
      </c>
      <c r="C6" s="10">
        <v>43242</v>
      </c>
      <c r="D6" s="11">
        <v>23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40</v>
      </c>
      <c r="L6" s="11" t="str">
        <f>"000011"</f>
        <v>000011</v>
      </c>
      <c r="M6" s="10">
        <v>43219</v>
      </c>
      <c r="N6" s="11" t="str">
        <f>"000009"</f>
        <v>000009</v>
      </c>
      <c r="O6" s="10">
        <v>43219</v>
      </c>
      <c r="P6" s="11" t="str">
        <f>"000024"</f>
        <v>000024</v>
      </c>
      <c r="Q6" s="10">
        <v>43219</v>
      </c>
      <c r="R6" s="11">
        <v>18</v>
      </c>
      <c r="S6" s="11" t="str">
        <f>"001594"</f>
        <v>001594</v>
      </c>
      <c r="T6" s="10">
        <v>43238</v>
      </c>
      <c r="U6" s="14">
        <v>29.30847</v>
      </c>
      <c r="V6" s="14">
        <v>2.74892</v>
      </c>
      <c r="W6" s="14">
        <v>26.559550000000002</v>
      </c>
      <c r="X6" s="11">
        <v>61</v>
      </c>
      <c r="Y6" s="10">
        <v>43242</v>
      </c>
      <c r="Z6" s="11">
        <v>123456789</v>
      </c>
      <c r="AA6" s="12" t="s">
        <v>66</v>
      </c>
      <c r="AB6" s="11" t="s">
        <v>67</v>
      </c>
      <c r="AC6" s="12" t="s">
        <v>68</v>
      </c>
      <c r="AD6" s="11" t="s">
        <v>44</v>
      </c>
      <c r="AE6" s="12" t="s">
        <v>45</v>
      </c>
      <c r="AF6" s="14">
        <v>0.29308469999999998</v>
      </c>
      <c r="AG6" s="11" t="s">
        <v>69</v>
      </c>
    </row>
    <row r="7" spans="1:33" x14ac:dyDescent="0.2">
      <c r="A7" s="8">
        <v>1741</v>
      </c>
      <c r="B7" s="9" t="s">
        <v>70</v>
      </c>
      <c r="C7" s="10">
        <v>43257</v>
      </c>
      <c r="D7" s="11">
        <v>23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71</v>
      </c>
      <c r="J7" s="12" t="s">
        <v>72</v>
      </c>
      <c r="K7" s="13" t="s">
        <v>59</v>
      </c>
      <c r="L7" s="11" t="str">
        <f>"000192"</f>
        <v>000192</v>
      </c>
      <c r="M7" s="10">
        <v>41912</v>
      </c>
      <c r="N7" s="11" t="str">
        <f>"000034"</f>
        <v>000034</v>
      </c>
      <c r="O7" s="10">
        <v>42632</v>
      </c>
      <c r="P7" s="11" t="str">
        <f>"000250"</f>
        <v>000250</v>
      </c>
      <c r="Q7" s="10">
        <v>42632</v>
      </c>
      <c r="R7" s="11">
        <v>14</v>
      </c>
      <c r="S7" s="11" t="str">
        <f>"002190"</f>
        <v>002190</v>
      </c>
      <c r="T7" s="10">
        <v>43255</v>
      </c>
      <c r="U7" s="14">
        <v>43.516550000000002</v>
      </c>
      <c r="V7" s="14">
        <v>5.7031499999999999</v>
      </c>
      <c r="W7" s="14">
        <v>37.813400000000001</v>
      </c>
      <c r="X7" s="11">
        <v>71</v>
      </c>
      <c r="Y7" s="10">
        <v>43257</v>
      </c>
      <c r="Z7" s="11">
        <v>9964929025</v>
      </c>
      <c r="AA7" s="12" t="s">
        <v>73</v>
      </c>
      <c r="AB7" s="11" t="s">
        <v>74</v>
      </c>
      <c r="AC7" s="12" t="s">
        <v>75</v>
      </c>
      <c r="AD7" s="11" t="s">
        <v>44</v>
      </c>
      <c r="AE7" s="12" t="s">
        <v>45</v>
      </c>
      <c r="AF7" s="14">
        <v>0.43516550000000004</v>
      </c>
      <c r="AG7" s="11" t="s">
        <v>46</v>
      </c>
    </row>
    <row r="8" spans="1:33" x14ac:dyDescent="0.2">
      <c r="A8" s="8">
        <v>1742</v>
      </c>
      <c r="B8" s="9" t="s">
        <v>70</v>
      </c>
      <c r="C8" s="10">
        <v>43257</v>
      </c>
      <c r="D8" s="11">
        <v>23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76</v>
      </c>
      <c r="J8" s="12" t="s">
        <v>77</v>
      </c>
      <c r="K8" s="13" t="s">
        <v>78</v>
      </c>
      <c r="L8" s="11" t="str">
        <f>"000160"</f>
        <v>000160</v>
      </c>
      <c r="M8" s="10">
        <v>43096</v>
      </c>
      <c r="N8" s="11" t="str">
        <f>"000113"</f>
        <v>000113</v>
      </c>
      <c r="O8" s="10">
        <v>43125</v>
      </c>
      <c r="P8" s="11" t="str">
        <f>"000339"</f>
        <v>000339</v>
      </c>
      <c r="Q8" s="10">
        <v>43125</v>
      </c>
      <c r="R8" s="11">
        <v>18</v>
      </c>
      <c r="S8" s="11" t="str">
        <f>"002024"</f>
        <v>002024</v>
      </c>
      <c r="T8" s="10">
        <v>43248</v>
      </c>
      <c r="U8" s="14">
        <v>19.83606</v>
      </c>
      <c r="V8" s="14">
        <v>1.6319999999999999</v>
      </c>
      <c r="W8" s="14">
        <v>18.204059999999998</v>
      </c>
      <c r="X8" s="11">
        <v>72</v>
      </c>
      <c r="Y8" s="10">
        <v>43257</v>
      </c>
      <c r="Z8" s="11">
        <v>123456789</v>
      </c>
      <c r="AA8" s="12" t="s">
        <v>79</v>
      </c>
      <c r="AB8" s="11" t="s">
        <v>80</v>
      </c>
      <c r="AC8" s="12" t="s">
        <v>81</v>
      </c>
      <c r="AD8" s="11" t="s">
        <v>44</v>
      </c>
      <c r="AE8" s="12" t="s">
        <v>45</v>
      </c>
      <c r="AF8" s="14">
        <v>0.1983606</v>
      </c>
      <c r="AG8" s="11" t="s">
        <v>46</v>
      </c>
    </row>
    <row r="9" spans="1:33" x14ac:dyDescent="0.2">
      <c r="A9" s="8">
        <v>1743</v>
      </c>
      <c r="B9" s="9" t="s">
        <v>70</v>
      </c>
      <c r="C9" s="10">
        <v>43257</v>
      </c>
      <c r="D9" s="11">
        <v>23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82</v>
      </c>
      <c r="J9" s="12" t="s">
        <v>83</v>
      </c>
      <c r="K9" s="13" t="s">
        <v>84</v>
      </c>
      <c r="L9" s="11" t="str">
        <f>"000316"</f>
        <v>000316</v>
      </c>
      <c r="M9" s="10">
        <v>43160</v>
      </c>
      <c r="N9" s="11" t="str">
        <f>"000013"</f>
        <v>000013</v>
      </c>
      <c r="O9" s="10">
        <v>43228</v>
      </c>
      <c r="P9" s="11" t="str">
        <f>"000029"</f>
        <v>000029</v>
      </c>
      <c r="Q9" s="10">
        <v>43228</v>
      </c>
      <c r="R9" s="11">
        <v>18</v>
      </c>
      <c r="S9" s="11" t="str">
        <f>"001770"</f>
        <v>001770</v>
      </c>
      <c r="T9" s="10">
        <v>43243</v>
      </c>
      <c r="U9" s="14">
        <v>47.751069999999999</v>
      </c>
      <c r="V9" s="14">
        <v>4.7270000000000003</v>
      </c>
      <c r="W9" s="14">
        <v>43.024070000000002</v>
      </c>
      <c r="X9" s="11">
        <v>73</v>
      </c>
      <c r="Y9" s="10">
        <v>43257</v>
      </c>
      <c r="Z9" s="11">
        <v>123456789</v>
      </c>
      <c r="AA9" s="12" t="s">
        <v>85</v>
      </c>
      <c r="AB9" s="11" t="s">
        <v>86</v>
      </c>
      <c r="AC9" s="12" t="s">
        <v>87</v>
      </c>
      <c r="AD9" s="11" t="s">
        <v>44</v>
      </c>
      <c r="AE9" s="12" t="s">
        <v>45</v>
      </c>
      <c r="AF9" s="14">
        <v>0.47751070000000001</v>
      </c>
      <c r="AG9" s="11" t="s">
        <v>63</v>
      </c>
    </row>
    <row r="10" spans="1:33" x14ac:dyDescent="0.2">
      <c r="A10" s="8">
        <v>1744</v>
      </c>
      <c r="B10" s="9" t="s">
        <v>70</v>
      </c>
      <c r="C10" s="10">
        <v>43257</v>
      </c>
      <c r="D10" s="11">
        <v>23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88</v>
      </c>
      <c r="J10" s="12" t="s">
        <v>89</v>
      </c>
      <c r="K10" s="13" t="s">
        <v>84</v>
      </c>
      <c r="L10" s="11" t="str">
        <f>"000313"</f>
        <v>000313</v>
      </c>
      <c r="M10" s="10">
        <v>43160</v>
      </c>
      <c r="N10" s="11" t="str">
        <f>"000014"</f>
        <v>000014</v>
      </c>
      <c r="O10" s="10">
        <v>43228</v>
      </c>
      <c r="P10" s="11" t="str">
        <f>"000030"</f>
        <v>000030</v>
      </c>
      <c r="Q10" s="10">
        <v>43228</v>
      </c>
      <c r="R10" s="11">
        <v>18</v>
      </c>
      <c r="S10" s="11" t="str">
        <f>"001771"</f>
        <v>001771</v>
      </c>
      <c r="T10" s="10">
        <v>43243</v>
      </c>
      <c r="U10" s="14">
        <v>49.481830000000002</v>
      </c>
      <c r="V10" s="14">
        <v>4.835</v>
      </c>
      <c r="W10" s="14">
        <v>44.646830000000001</v>
      </c>
      <c r="X10" s="11">
        <v>73</v>
      </c>
      <c r="Y10" s="10">
        <v>43257</v>
      </c>
      <c r="Z10" s="11">
        <v>9638520741</v>
      </c>
      <c r="AA10" s="12" t="s">
        <v>85</v>
      </c>
      <c r="AB10" s="11" t="s">
        <v>86</v>
      </c>
      <c r="AC10" s="12" t="s">
        <v>87</v>
      </c>
      <c r="AD10" s="11" t="s">
        <v>44</v>
      </c>
      <c r="AE10" s="12" t="s">
        <v>45</v>
      </c>
      <c r="AF10" s="14">
        <v>0.49481830000000004</v>
      </c>
      <c r="AG10" s="11" t="s">
        <v>63</v>
      </c>
    </row>
    <row r="11" spans="1:33" x14ac:dyDescent="0.2">
      <c r="A11" s="8">
        <v>1745</v>
      </c>
      <c r="B11" s="9" t="s">
        <v>70</v>
      </c>
      <c r="C11" s="10">
        <v>43257</v>
      </c>
      <c r="D11" s="11">
        <v>23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90</v>
      </c>
      <c r="J11" s="12" t="s">
        <v>91</v>
      </c>
      <c r="K11" s="13" t="s">
        <v>59</v>
      </c>
      <c r="L11" s="11" t="str">
        <f>"000315"</f>
        <v>000315</v>
      </c>
      <c r="M11" s="10">
        <v>43160</v>
      </c>
      <c r="N11" s="11" t="str">
        <f>"000015"</f>
        <v>000015</v>
      </c>
      <c r="O11" s="10">
        <v>43229</v>
      </c>
      <c r="P11" s="11" t="str">
        <f>"000031"</f>
        <v>000031</v>
      </c>
      <c r="Q11" s="10">
        <v>43229</v>
      </c>
      <c r="R11" s="11">
        <v>18</v>
      </c>
      <c r="S11" s="11" t="str">
        <f>"001772"</f>
        <v>001772</v>
      </c>
      <c r="T11" s="10">
        <v>43243</v>
      </c>
      <c r="U11" s="14">
        <v>39.910220000000002</v>
      </c>
      <c r="V11" s="14">
        <v>3.98</v>
      </c>
      <c r="W11" s="14">
        <v>35.930219999999998</v>
      </c>
      <c r="X11" s="11">
        <v>73</v>
      </c>
      <c r="Y11" s="10">
        <v>43257</v>
      </c>
      <c r="Z11" s="11">
        <v>123456789</v>
      </c>
      <c r="AA11" s="12" t="s">
        <v>85</v>
      </c>
      <c r="AB11" s="11" t="s">
        <v>86</v>
      </c>
      <c r="AC11" s="12" t="s">
        <v>87</v>
      </c>
      <c r="AD11" s="11" t="s">
        <v>44</v>
      </c>
      <c r="AE11" s="12" t="s">
        <v>45</v>
      </c>
      <c r="AF11" s="14">
        <v>0.39910220000000002</v>
      </c>
      <c r="AG11" s="11" t="s">
        <v>63</v>
      </c>
    </row>
    <row r="12" spans="1:33" x14ac:dyDescent="0.2">
      <c r="A12" s="8">
        <v>1746</v>
      </c>
      <c r="B12" s="9" t="s">
        <v>70</v>
      </c>
      <c r="C12" s="10">
        <v>43257</v>
      </c>
      <c r="D12" s="11">
        <v>23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92</v>
      </c>
      <c r="J12" s="12" t="s">
        <v>93</v>
      </c>
      <c r="K12" s="13" t="s">
        <v>59</v>
      </c>
      <c r="L12" s="11" t="str">
        <f>"000015"</f>
        <v>000015</v>
      </c>
      <c r="M12" s="10">
        <v>43228</v>
      </c>
      <c r="N12" s="11" t="str">
        <f>"000012"</f>
        <v>000012</v>
      </c>
      <c r="O12" s="10">
        <v>43228</v>
      </c>
      <c r="P12" s="11" t="str">
        <f>"000028"</f>
        <v>000028</v>
      </c>
      <c r="Q12" s="10">
        <v>43228</v>
      </c>
      <c r="R12" s="11">
        <v>18</v>
      </c>
      <c r="S12" s="11" t="str">
        <f>"002076"</f>
        <v>002076</v>
      </c>
      <c r="T12" s="10">
        <v>43251</v>
      </c>
      <c r="U12" s="14">
        <v>49.764249999999997</v>
      </c>
      <c r="V12" s="14">
        <v>4.9215</v>
      </c>
      <c r="W12" s="14">
        <v>44.842750000000002</v>
      </c>
      <c r="X12" s="11">
        <v>73</v>
      </c>
      <c r="Y12" s="10">
        <v>43257</v>
      </c>
      <c r="Z12" s="11">
        <v>123456789</v>
      </c>
      <c r="AA12" s="12" t="s">
        <v>94</v>
      </c>
      <c r="AB12" s="11" t="s">
        <v>86</v>
      </c>
      <c r="AC12" s="12" t="s">
        <v>87</v>
      </c>
      <c r="AD12" s="11" t="s">
        <v>44</v>
      </c>
      <c r="AE12" s="12" t="s">
        <v>45</v>
      </c>
      <c r="AF12" s="14">
        <v>0.49764249999999999</v>
      </c>
      <c r="AG12" s="11" t="s">
        <v>69</v>
      </c>
    </row>
    <row r="13" spans="1:33" x14ac:dyDescent="0.2">
      <c r="A13" s="8">
        <v>2131</v>
      </c>
      <c r="B13" s="9" t="s">
        <v>70</v>
      </c>
      <c r="C13" s="10">
        <v>43265</v>
      </c>
      <c r="D13" s="11">
        <v>23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95</v>
      </c>
      <c r="J13" s="12" t="s">
        <v>96</v>
      </c>
      <c r="K13" s="13" t="s">
        <v>59</v>
      </c>
      <c r="L13" s="11" t="str">
        <f>"000250"</f>
        <v>000250</v>
      </c>
      <c r="M13" s="10">
        <v>43140</v>
      </c>
      <c r="N13" s="11" t="str">
        <f>"000033"</f>
        <v>000033</v>
      </c>
      <c r="O13" s="10">
        <v>43249</v>
      </c>
      <c r="P13" s="11" t="str">
        <f>"000053"</f>
        <v>000053</v>
      </c>
      <c r="Q13" s="10">
        <v>43249</v>
      </c>
      <c r="R13" s="11">
        <v>18</v>
      </c>
      <c r="S13" s="11" t="str">
        <f>"002471"</f>
        <v>002471</v>
      </c>
      <c r="T13" s="10">
        <v>43263</v>
      </c>
      <c r="U13" s="14">
        <v>14.95857</v>
      </c>
      <c r="V13" s="14">
        <v>1.3585700000000001</v>
      </c>
      <c r="W13" s="14">
        <v>13.6</v>
      </c>
      <c r="X13" s="11">
        <v>84</v>
      </c>
      <c r="Y13" s="10">
        <v>43265</v>
      </c>
      <c r="Z13" s="11">
        <v>123456789</v>
      </c>
      <c r="AA13" s="12" t="s">
        <v>97</v>
      </c>
      <c r="AB13" s="11" t="s">
        <v>98</v>
      </c>
      <c r="AC13" s="12" t="s">
        <v>99</v>
      </c>
      <c r="AD13" s="11" t="s">
        <v>44</v>
      </c>
      <c r="AE13" s="12" t="s">
        <v>45</v>
      </c>
      <c r="AF13" s="14">
        <v>0.14958569999999999</v>
      </c>
      <c r="AG13" s="11" t="s">
        <v>63</v>
      </c>
    </row>
    <row r="14" spans="1:33" x14ac:dyDescent="0.2">
      <c r="A14" s="8">
        <v>2132</v>
      </c>
      <c r="B14" s="9" t="s">
        <v>70</v>
      </c>
      <c r="C14" s="10">
        <v>43265</v>
      </c>
      <c r="D14" s="11">
        <v>23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100</v>
      </c>
      <c r="J14" s="12" t="s">
        <v>101</v>
      </c>
      <c r="K14" s="13" t="s">
        <v>40</v>
      </c>
      <c r="L14" s="11" t="str">
        <f>"000248"</f>
        <v>000248</v>
      </c>
      <c r="M14" s="10">
        <v>43140</v>
      </c>
      <c r="N14" s="11" t="str">
        <f>"000031"</f>
        <v>000031</v>
      </c>
      <c r="O14" s="10">
        <v>43249</v>
      </c>
      <c r="P14" s="11" t="str">
        <f>"000051"</f>
        <v>000051</v>
      </c>
      <c r="Q14" s="10">
        <v>43249</v>
      </c>
      <c r="R14" s="11">
        <v>18</v>
      </c>
      <c r="S14" s="11" t="str">
        <f>"002474"</f>
        <v>002474</v>
      </c>
      <c r="T14" s="10">
        <v>43263</v>
      </c>
      <c r="U14" s="14">
        <v>4.9834300000000002</v>
      </c>
      <c r="V14" s="14">
        <v>0.438</v>
      </c>
      <c r="W14" s="14">
        <v>4.5454299999999996</v>
      </c>
      <c r="X14" s="11">
        <v>84</v>
      </c>
      <c r="Y14" s="10">
        <v>43265</v>
      </c>
      <c r="Z14" s="11">
        <v>123456789</v>
      </c>
      <c r="AA14" s="12" t="s">
        <v>102</v>
      </c>
      <c r="AB14" s="11" t="s">
        <v>103</v>
      </c>
      <c r="AC14" s="12" t="s">
        <v>104</v>
      </c>
      <c r="AD14" s="11" t="s">
        <v>44</v>
      </c>
      <c r="AE14" s="12" t="s">
        <v>45</v>
      </c>
      <c r="AF14" s="14">
        <v>4.9834300000000005E-2</v>
      </c>
      <c r="AG14" s="11" t="s">
        <v>63</v>
      </c>
    </row>
    <row r="15" spans="1:33" x14ac:dyDescent="0.2">
      <c r="A15" s="8">
        <v>2133</v>
      </c>
      <c r="B15" s="9" t="s">
        <v>70</v>
      </c>
      <c r="C15" s="10">
        <v>43265</v>
      </c>
      <c r="D15" s="11">
        <v>23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105</v>
      </c>
      <c r="J15" s="12" t="s">
        <v>106</v>
      </c>
      <c r="K15" s="13" t="s">
        <v>40</v>
      </c>
      <c r="L15" s="11" t="str">
        <f>"000247"</f>
        <v>000247</v>
      </c>
      <c r="M15" s="10">
        <v>43140</v>
      </c>
      <c r="N15" s="11" t="str">
        <f>"000032"</f>
        <v>000032</v>
      </c>
      <c r="O15" s="10">
        <v>43249</v>
      </c>
      <c r="P15" s="11" t="str">
        <f>"000052"</f>
        <v>000052</v>
      </c>
      <c r="Q15" s="10">
        <v>43249</v>
      </c>
      <c r="R15" s="11">
        <v>18</v>
      </c>
      <c r="S15" s="11" t="str">
        <f>"002475"</f>
        <v>002475</v>
      </c>
      <c r="T15" s="10">
        <v>43263</v>
      </c>
      <c r="U15" s="14">
        <v>4.9764200000000001</v>
      </c>
      <c r="V15" s="14">
        <v>0.42099999999999999</v>
      </c>
      <c r="W15" s="14">
        <v>4.5554199999999998</v>
      </c>
      <c r="X15" s="11">
        <v>84</v>
      </c>
      <c r="Y15" s="10">
        <v>43265</v>
      </c>
      <c r="Z15" s="11">
        <v>1234567890</v>
      </c>
      <c r="AA15" s="12" t="s">
        <v>97</v>
      </c>
      <c r="AB15" s="11" t="s">
        <v>107</v>
      </c>
      <c r="AC15" s="12" t="s">
        <v>108</v>
      </c>
      <c r="AD15" s="11" t="s">
        <v>44</v>
      </c>
      <c r="AE15" s="12" t="s">
        <v>45</v>
      </c>
      <c r="AF15" s="14">
        <v>4.9764200000000001E-2</v>
      </c>
      <c r="AG15" s="11" t="s">
        <v>63</v>
      </c>
    </row>
    <row r="16" spans="1:33" x14ac:dyDescent="0.2">
      <c r="A16" s="8">
        <v>2209</v>
      </c>
      <c r="B16" s="9" t="s">
        <v>70</v>
      </c>
      <c r="C16" s="10">
        <v>43269</v>
      </c>
      <c r="D16" s="11">
        <v>23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109</v>
      </c>
      <c r="J16" s="12" t="s">
        <v>110</v>
      </c>
      <c r="K16" s="13" t="s">
        <v>84</v>
      </c>
      <c r="L16" s="11" t="str">
        <f>"000030"</f>
        <v>000030</v>
      </c>
      <c r="M16" s="10">
        <v>43242</v>
      </c>
      <c r="N16" s="11" t="str">
        <f>"000033"</f>
        <v>000033</v>
      </c>
      <c r="O16" s="10">
        <v>43242</v>
      </c>
      <c r="P16" s="11" t="str">
        <f>"000032"</f>
        <v>000032</v>
      </c>
      <c r="Q16" s="10">
        <v>43242</v>
      </c>
      <c r="R16" s="11">
        <v>18</v>
      </c>
      <c r="S16" s="11" t="str">
        <f>"002219"</f>
        <v>002219</v>
      </c>
      <c r="T16" s="10">
        <v>43257</v>
      </c>
      <c r="U16" s="14">
        <v>9.9205299999999994</v>
      </c>
      <c r="V16" s="14">
        <v>1.2559199999999999</v>
      </c>
      <c r="W16" s="14">
        <v>8.6646099999999997</v>
      </c>
      <c r="X16" s="11">
        <v>93</v>
      </c>
      <c r="Y16" s="10">
        <v>43269</v>
      </c>
      <c r="Z16" s="11">
        <v>8884570445</v>
      </c>
      <c r="AA16" s="12" t="s">
        <v>111</v>
      </c>
      <c r="AB16" s="11" t="s">
        <v>67</v>
      </c>
      <c r="AC16" s="12" t="s">
        <v>68</v>
      </c>
      <c r="AD16" s="11" t="s">
        <v>112</v>
      </c>
      <c r="AE16" s="12" t="s">
        <v>113</v>
      </c>
      <c r="AF16" s="14">
        <v>9.9205299999999996E-2</v>
      </c>
      <c r="AG16" s="11" t="s">
        <v>69</v>
      </c>
    </row>
    <row r="17" spans="1:33" x14ac:dyDescent="0.2">
      <c r="A17" s="8">
        <v>2210</v>
      </c>
      <c r="B17" s="9" t="s">
        <v>70</v>
      </c>
      <c r="C17" s="10">
        <v>43269</v>
      </c>
      <c r="D17" s="11">
        <v>23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114</v>
      </c>
      <c r="J17" s="12" t="s">
        <v>115</v>
      </c>
      <c r="K17" s="13" t="s">
        <v>84</v>
      </c>
      <c r="L17" s="11" t="str">
        <f>"000029"</f>
        <v>000029</v>
      </c>
      <c r="M17" s="10">
        <v>43242</v>
      </c>
      <c r="N17" s="11" t="str">
        <f>"000035"</f>
        <v>000035</v>
      </c>
      <c r="O17" s="10">
        <v>43242</v>
      </c>
      <c r="P17" s="11" t="str">
        <f>"000033"</f>
        <v>000033</v>
      </c>
      <c r="Q17" s="10">
        <v>43242</v>
      </c>
      <c r="R17" s="11">
        <v>18</v>
      </c>
      <c r="S17" s="11" t="str">
        <f>"002220"</f>
        <v>002220</v>
      </c>
      <c r="T17" s="10">
        <v>43257</v>
      </c>
      <c r="U17" s="14">
        <v>19.901479999999999</v>
      </c>
      <c r="V17" s="14">
        <v>2.5173399999999999</v>
      </c>
      <c r="W17" s="14">
        <v>17.384139999999999</v>
      </c>
      <c r="X17" s="11">
        <v>93</v>
      </c>
      <c r="Y17" s="10">
        <v>43269</v>
      </c>
      <c r="Z17" s="11">
        <v>8884570445</v>
      </c>
      <c r="AA17" s="12" t="s">
        <v>111</v>
      </c>
      <c r="AB17" s="11" t="s">
        <v>67</v>
      </c>
      <c r="AC17" s="12" t="s">
        <v>68</v>
      </c>
      <c r="AD17" s="11" t="s">
        <v>112</v>
      </c>
      <c r="AE17" s="12" t="s">
        <v>113</v>
      </c>
      <c r="AF17" s="14">
        <v>0.19901479999999999</v>
      </c>
      <c r="AG17" s="11" t="s">
        <v>69</v>
      </c>
    </row>
    <row r="18" spans="1:33" x14ac:dyDescent="0.2">
      <c r="A18" s="8">
        <v>2211</v>
      </c>
      <c r="B18" s="9" t="s">
        <v>70</v>
      </c>
      <c r="C18" s="10">
        <v>43269</v>
      </c>
      <c r="D18" s="11">
        <v>23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116</v>
      </c>
      <c r="J18" s="12" t="s">
        <v>117</v>
      </c>
      <c r="K18" s="13" t="s">
        <v>84</v>
      </c>
      <c r="L18" s="11" t="str">
        <f>"000028"</f>
        <v>000028</v>
      </c>
      <c r="M18" s="10">
        <v>43242</v>
      </c>
      <c r="N18" s="11" t="str">
        <f>"000032"</f>
        <v>000032</v>
      </c>
      <c r="O18" s="10">
        <v>43242</v>
      </c>
      <c r="P18" s="11" t="str">
        <f>"000034"</f>
        <v>000034</v>
      </c>
      <c r="Q18" s="10">
        <v>43242</v>
      </c>
      <c r="R18" s="11">
        <v>18</v>
      </c>
      <c r="S18" s="11" t="str">
        <f>"002221"</f>
        <v>002221</v>
      </c>
      <c r="T18" s="10">
        <v>43257</v>
      </c>
      <c r="U18" s="14">
        <v>9.9325700000000001</v>
      </c>
      <c r="V18" s="14">
        <v>1.2548600000000001</v>
      </c>
      <c r="W18" s="14">
        <v>8.6777099999999994</v>
      </c>
      <c r="X18" s="11">
        <v>93</v>
      </c>
      <c r="Y18" s="10">
        <v>43269</v>
      </c>
      <c r="Z18" s="11">
        <v>8884570445</v>
      </c>
      <c r="AA18" s="12" t="s">
        <v>111</v>
      </c>
      <c r="AB18" s="11" t="s">
        <v>67</v>
      </c>
      <c r="AC18" s="12" t="s">
        <v>68</v>
      </c>
      <c r="AD18" s="11" t="s">
        <v>112</v>
      </c>
      <c r="AE18" s="12" t="s">
        <v>113</v>
      </c>
      <c r="AF18" s="14">
        <v>9.9325700000000003E-2</v>
      </c>
      <c r="AG18" s="11" t="s">
        <v>69</v>
      </c>
    </row>
    <row r="19" spans="1:33" x14ac:dyDescent="0.2">
      <c r="A19" s="8">
        <v>2212</v>
      </c>
      <c r="B19" s="9" t="s">
        <v>70</v>
      </c>
      <c r="C19" s="10">
        <v>43269</v>
      </c>
      <c r="D19" s="11">
        <v>23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118</v>
      </c>
      <c r="J19" s="12" t="s">
        <v>119</v>
      </c>
      <c r="K19" s="13" t="s">
        <v>84</v>
      </c>
      <c r="L19" s="11" t="str">
        <f>"000027"</f>
        <v>000027</v>
      </c>
      <c r="M19" s="10">
        <v>43241</v>
      </c>
      <c r="N19" s="11" t="str">
        <f>"000034"</f>
        <v>000034</v>
      </c>
      <c r="O19" s="10">
        <v>43242</v>
      </c>
      <c r="P19" s="11" t="str">
        <f>"000035"</f>
        <v>000035</v>
      </c>
      <c r="Q19" s="10">
        <v>43242</v>
      </c>
      <c r="R19" s="11">
        <v>18</v>
      </c>
      <c r="S19" s="11" t="str">
        <f>"002222"</f>
        <v>002222</v>
      </c>
      <c r="T19" s="10">
        <v>43257</v>
      </c>
      <c r="U19" s="14">
        <v>19.922229999999999</v>
      </c>
      <c r="V19" s="14">
        <v>2.5211600000000001</v>
      </c>
      <c r="W19" s="14">
        <v>17.401070000000001</v>
      </c>
      <c r="X19" s="11">
        <v>93</v>
      </c>
      <c r="Y19" s="10">
        <v>43269</v>
      </c>
      <c r="Z19" s="11">
        <v>8884570445</v>
      </c>
      <c r="AA19" s="12" t="s">
        <v>111</v>
      </c>
      <c r="AB19" s="11" t="s">
        <v>67</v>
      </c>
      <c r="AC19" s="12" t="s">
        <v>68</v>
      </c>
      <c r="AD19" s="11" t="s">
        <v>112</v>
      </c>
      <c r="AE19" s="12" t="s">
        <v>113</v>
      </c>
      <c r="AF19" s="14">
        <v>0.19922229999999999</v>
      </c>
      <c r="AG19" s="11" t="s">
        <v>69</v>
      </c>
    </row>
    <row r="20" spans="1:33" x14ac:dyDescent="0.2">
      <c r="A20" s="8">
        <v>2213</v>
      </c>
      <c r="B20" s="9" t="s">
        <v>70</v>
      </c>
      <c r="C20" s="10">
        <v>43269</v>
      </c>
      <c r="D20" s="11">
        <v>23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120</v>
      </c>
      <c r="J20" s="12" t="s">
        <v>121</v>
      </c>
      <c r="K20" s="13" t="s">
        <v>84</v>
      </c>
      <c r="L20" s="11" t="str">
        <f>"000023"</f>
        <v>000023</v>
      </c>
      <c r="M20" s="10">
        <v>43241</v>
      </c>
      <c r="N20" s="11" t="str">
        <f>"000028"</f>
        <v>000028</v>
      </c>
      <c r="O20" s="10">
        <v>43241</v>
      </c>
      <c r="P20" s="11" t="str">
        <f>"000028"</f>
        <v>000028</v>
      </c>
      <c r="Q20" s="10">
        <v>43241</v>
      </c>
      <c r="R20" s="11">
        <v>18</v>
      </c>
      <c r="S20" s="11" t="str">
        <f>"002224"</f>
        <v>002224</v>
      </c>
      <c r="T20" s="10">
        <v>43257</v>
      </c>
      <c r="U20" s="14">
        <v>9.9232999999999993</v>
      </c>
      <c r="V20" s="14">
        <v>1.2594799999999999</v>
      </c>
      <c r="W20" s="14">
        <v>8.6638199999999994</v>
      </c>
      <c r="X20" s="11">
        <v>93</v>
      </c>
      <c r="Y20" s="10">
        <v>43269</v>
      </c>
      <c r="Z20" s="11">
        <v>8884570445</v>
      </c>
      <c r="AA20" s="12" t="s">
        <v>122</v>
      </c>
      <c r="AB20" s="11" t="s">
        <v>67</v>
      </c>
      <c r="AC20" s="12" t="s">
        <v>68</v>
      </c>
      <c r="AD20" s="11" t="s">
        <v>112</v>
      </c>
      <c r="AE20" s="12" t="s">
        <v>113</v>
      </c>
      <c r="AF20" s="14">
        <v>9.9232999999999988E-2</v>
      </c>
      <c r="AG20" s="11" t="s">
        <v>69</v>
      </c>
    </row>
    <row r="21" spans="1:33" x14ac:dyDescent="0.2">
      <c r="A21" s="8">
        <v>2214</v>
      </c>
      <c r="B21" s="9" t="s">
        <v>70</v>
      </c>
      <c r="C21" s="10">
        <v>43269</v>
      </c>
      <c r="D21" s="11">
        <v>23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123</v>
      </c>
      <c r="J21" s="12" t="s">
        <v>124</v>
      </c>
      <c r="K21" s="13" t="s">
        <v>84</v>
      </c>
      <c r="L21" s="11" t="str">
        <f>"000024"</f>
        <v>000024</v>
      </c>
      <c r="M21" s="10">
        <v>43241</v>
      </c>
      <c r="N21" s="11" t="str">
        <f>"000029"</f>
        <v>000029</v>
      </c>
      <c r="O21" s="10">
        <v>43241</v>
      </c>
      <c r="P21" s="11" t="str">
        <f>"000029"</f>
        <v>000029</v>
      </c>
      <c r="Q21" s="10">
        <v>43241</v>
      </c>
      <c r="R21" s="11">
        <v>18</v>
      </c>
      <c r="S21" s="11" t="str">
        <f>"002226"</f>
        <v>002226</v>
      </c>
      <c r="T21" s="10">
        <v>43257</v>
      </c>
      <c r="U21" s="14">
        <v>9.9244000000000003</v>
      </c>
      <c r="V21" s="14">
        <v>1.2569999999999999</v>
      </c>
      <c r="W21" s="14">
        <v>8.6674000000000007</v>
      </c>
      <c r="X21" s="11">
        <v>93</v>
      </c>
      <c r="Y21" s="10">
        <v>43269</v>
      </c>
      <c r="Z21" s="11">
        <v>8884570445</v>
      </c>
      <c r="AA21" s="12" t="s">
        <v>111</v>
      </c>
      <c r="AB21" s="11" t="s">
        <v>67</v>
      </c>
      <c r="AC21" s="12" t="s">
        <v>68</v>
      </c>
      <c r="AD21" s="11" t="s">
        <v>112</v>
      </c>
      <c r="AE21" s="12" t="s">
        <v>113</v>
      </c>
      <c r="AF21" s="14">
        <v>9.9243999999999999E-2</v>
      </c>
      <c r="AG21" s="11" t="s">
        <v>69</v>
      </c>
    </row>
    <row r="22" spans="1:33" x14ac:dyDescent="0.2">
      <c r="A22" s="8">
        <v>2215</v>
      </c>
      <c r="B22" s="9" t="s">
        <v>70</v>
      </c>
      <c r="C22" s="10">
        <v>43269</v>
      </c>
      <c r="D22" s="11">
        <v>23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125</v>
      </c>
      <c r="J22" s="12" t="s">
        <v>126</v>
      </c>
      <c r="K22" s="13" t="s">
        <v>84</v>
      </c>
      <c r="L22" s="11" t="str">
        <f>"000025"</f>
        <v>000025</v>
      </c>
      <c r="M22" s="10">
        <v>43241</v>
      </c>
      <c r="N22" s="11" t="str">
        <f>"000030"</f>
        <v>000030</v>
      </c>
      <c r="O22" s="10">
        <v>43241</v>
      </c>
      <c r="P22" s="11" t="str">
        <f>"000030"</f>
        <v>000030</v>
      </c>
      <c r="Q22" s="10">
        <v>43241</v>
      </c>
      <c r="R22" s="11">
        <v>18</v>
      </c>
      <c r="S22" s="11" t="str">
        <f>"002227"</f>
        <v>002227</v>
      </c>
      <c r="T22" s="10">
        <v>43257</v>
      </c>
      <c r="U22" s="14">
        <v>9.9218600000000006</v>
      </c>
      <c r="V22" s="14">
        <v>1.2577400000000001</v>
      </c>
      <c r="W22" s="14">
        <v>8.6641200000000005</v>
      </c>
      <c r="X22" s="11">
        <v>93</v>
      </c>
      <c r="Y22" s="10">
        <v>43269</v>
      </c>
      <c r="Z22" s="11">
        <v>8884570445</v>
      </c>
      <c r="AA22" s="12" t="s">
        <v>111</v>
      </c>
      <c r="AB22" s="11" t="s">
        <v>67</v>
      </c>
      <c r="AC22" s="12" t="s">
        <v>68</v>
      </c>
      <c r="AD22" s="11" t="s">
        <v>112</v>
      </c>
      <c r="AE22" s="12" t="s">
        <v>113</v>
      </c>
      <c r="AF22" s="14">
        <v>9.9218600000000004E-2</v>
      </c>
      <c r="AG22" s="11" t="s">
        <v>69</v>
      </c>
    </row>
    <row r="23" spans="1:33" x14ac:dyDescent="0.2">
      <c r="A23" s="8">
        <v>2216</v>
      </c>
      <c r="B23" s="9" t="s">
        <v>70</v>
      </c>
      <c r="C23" s="10">
        <v>43269</v>
      </c>
      <c r="D23" s="11">
        <v>23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127</v>
      </c>
      <c r="J23" s="12" t="s">
        <v>128</v>
      </c>
      <c r="K23" s="13" t="s">
        <v>84</v>
      </c>
      <c r="L23" s="11" t="str">
        <f>"000026"</f>
        <v>000026</v>
      </c>
      <c r="M23" s="10">
        <v>43241</v>
      </c>
      <c r="N23" s="11" t="str">
        <f>"000031"</f>
        <v>000031</v>
      </c>
      <c r="O23" s="10">
        <v>43241</v>
      </c>
      <c r="P23" s="11" t="str">
        <f>"000031"</f>
        <v>000031</v>
      </c>
      <c r="Q23" s="10">
        <v>43241</v>
      </c>
      <c r="R23" s="11">
        <v>18</v>
      </c>
      <c r="S23" s="11" t="str">
        <f>"002230"</f>
        <v>002230</v>
      </c>
      <c r="T23" s="10">
        <v>43257</v>
      </c>
      <c r="U23" s="14">
        <v>19.94548</v>
      </c>
      <c r="V23" s="14">
        <v>2.5232199999999998</v>
      </c>
      <c r="W23" s="14">
        <v>17.422260000000001</v>
      </c>
      <c r="X23" s="11">
        <v>93</v>
      </c>
      <c r="Y23" s="10">
        <v>43269</v>
      </c>
      <c r="Z23" s="11">
        <v>8884570445</v>
      </c>
      <c r="AA23" s="12" t="s">
        <v>111</v>
      </c>
      <c r="AB23" s="11" t="s">
        <v>67</v>
      </c>
      <c r="AC23" s="12" t="s">
        <v>68</v>
      </c>
      <c r="AD23" s="11" t="s">
        <v>112</v>
      </c>
      <c r="AE23" s="12" t="s">
        <v>113</v>
      </c>
      <c r="AF23" s="14">
        <v>0.19945479999999999</v>
      </c>
      <c r="AG23" s="11" t="s">
        <v>69</v>
      </c>
    </row>
    <row r="24" spans="1:33" x14ac:dyDescent="0.2">
      <c r="A24" s="8">
        <v>2394</v>
      </c>
      <c r="B24" s="9" t="s">
        <v>70</v>
      </c>
      <c r="C24" s="10">
        <v>43271</v>
      </c>
      <c r="D24" s="11">
        <v>23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129</v>
      </c>
      <c r="J24" s="12" t="s">
        <v>130</v>
      </c>
      <c r="K24" s="13" t="s">
        <v>84</v>
      </c>
      <c r="L24" s="11" t="str">
        <f>"000027"</f>
        <v>000027</v>
      </c>
      <c r="M24" s="10">
        <v>43250</v>
      </c>
      <c r="N24" s="11" t="str">
        <f>"000035"</f>
        <v>000035</v>
      </c>
      <c r="O24" s="10">
        <v>43250</v>
      </c>
      <c r="P24" s="11" t="str">
        <f>"000055"</f>
        <v>000055</v>
      </c>
      <c r="Q24" s="10">
        <v>43250</v>
      </c>
      <c r="R24" s="11">
        <v>18</v>
      </c>
      <c r="S24" s="11" t="str">
        <f>"002669"</f>
        <v>002669</v>
      </c>
      <c r="T24" s="10">
        <v>43269</v>
      </c>
      <c r="U24" s="14">
        <v>19.872199999999999</v>
      </c>
      <c r="V24" s="14">
        <v>1.8145</v>
      </c>
      <c r="W24" s="14">
        <v>18.057700000000001</v>
      </c>
      <c r="X24" s="11">
        <v>95</v>
      </c>
      <c r="Y24" s="10">
        <v>43271</v>
      </c>
      <c r="Z24" s="11">
        <v>123456789</v>
      </c>
      <c r="AA24" s="12" t="s">
        <v>131</v>
      </c>
      <c r="AB24" s="11" t="s">
        <v>86</v>
      </c>
      <c r="AC24" s="12" t="s">
        <v>87</v>
      </c>
      <c r="AD24" s="11" t="s">
        <v>44</v>
      </c>
      <c r="AE24" s="12" t="s">
        <v>45</v>
      </c>
      <c r="AF24" s="14">
        <v>0.19872199999999998</v>
      </c>
      <c r="AG24" s="11" t="s">
        <v>69</v>
      </c>
    </row>
    <row r="25" spans="1:33" x14ac:dyDescent="0.2">
      <c r="A25" s="8">
        <v>2395</v>
      </c>
      <c r="B25" s="9" t="s">
        <v>70</v>
      </c>
      <c r="C25" s="10">
        <v>43271</v>
      </c>
      <c r="D25" s="11">
        <v>23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132</v>
      </c>
      <c r="J25" s="12" t="s">
        <v>133</v>
      </c>
      <c r="K25" s="13" t="s">
        <v>84</v>
      </c>
      <c r="L25" s="11" t="str">
        <f>"000028"</f>
        <v>000028</v>
      </c>
      <c r="M25" s="10">
        <v>43250</v>
      </c>
      <c r="N25" s="11" t="str">
        <f>"000034"</f>
        <v>000034</v>
      </c>
      <c r="O25" s="10">
        <v>43250</v>
      </c>
      <c r="P25" s="11" t="str">
        <f>"000054"</f>
        <v>000054</v>
      </c>
      <c r="Q25" s="10">
        <v>43250</v>
      </c>
      <c r="R25" s="11">
        <v>18</v>
      </c>
      <c r="S25" s="11" t="str">
        <f>"002670"</f>
        <v>002670</v>
      </c>
      <c r="T25" s="10">
        <v>43269</v>
      </c>
      <c r="U25" s="14">
        <v>17.82957</v>
      </c>
      <c r="V25" s="14">
        <v>1.611</v>
      </c>
      <c r="W25" s="14">
        <v>16.21857</v>
      </c>
      <c r="X25" s="11">
        <v>95</v>
      </c>
      <c r="Y25" s="10">
        <v>43271</v>
      </c>
      <c r="Z25" s="11">
        <v>123456789</v>
      </c>
      <c r="AA25" s="12" t="s">
        <v>131</v>
      </c>
      <c r="AB25" s="11" t="s">
        <v>86</v>
      </c>
      <c r="AC25" s="12" t="s">
        <v>87</v>
      </c>
      <c r="AD25" s="11" t="s">
        <v>44</v>
      </c>
      <c r="AE25" s="12" t="s">
        <v>45</v>
      </c>
      <c r="AF25" s="14">
        <v>0.1782957</v>
      </c>
      <c r="AG25" s="11" t="s">
        <v>69</v>
      </c>
    </row>
    <row r="26" spans="1:33" x14ac:dyDescent="0.2">
      <c r="A26" s="8">
        <v>2487</v>
      </c>
      <c r="B26" s="9" t="s">
        <v>70</v>
      </c>
      <c r="C26" s="10">
        <v>43274</v>
      </c>
      <c r="D26" s="11">
        <v>23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134</v>
      </c>
      <c r="J26" s="12" t="s">
        <v>135</v>
      </c>
      <c r="K26" s="13" t="s">
        <v>40</v>
      </c>
      <c r="L26" s="11" t="str">
        <f>"0.0006"</f>
        <v>0.0006</v>
      </c>
      <c r="M26" s="10">
        <v>42422</v>
      </c>
      <c r="N26" s="11" t="str">
        <f>"000049"</f>
        <v>000049</v>
      </c>
      <c r="O26" s="10">
        <v>42650</v>
      </c>
      <c r="P26" s="11" t="str">
        <f>"000291"</f>
        <v>000291</v>
      </c>
      <c r="Q26" s="10">
        <v>42671</v>
      </c>
      <c r="R26" s="11">
        <v>16</v>
      </c>
      <c r="S26" s="11" t="str">
        <f>"002803"</f>
        <v>002803</v>
      </c>
      <c r="T26" s="10">
        <v>43271</v>
      </c>
      <c r="U26" s="14">
        <v>9.7822200000000006</v>
      </c>
      <c r="V26" s="14">
        <v>0.74670000000000003</v>
      </c>
      <c r="W26" s="14">
        <v>9.03552</v>
      </c>
      <c r="X26" s="11">
        <v>99</v>
      </c>
      <c r="Y26" s="10">
        <v>43274</v>
      </c>
      <c r="Z26" s="11">
        <v>8310763139</v>
      </c>
      <c r="AA26" s="12" t="s">
        <v>136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v>9.7822200000000012E-2</v>
      </c>
      <c r="AG26" s="11" t="s">
        <v>46</v>
      </c>
    </row>
    <row r="27" spans="1:33" x14ac:dyDescent="0.2">
      <c r="A27" s="8">
        <v>2786</v>
      </c>
      <c r="B27" s="9" t="s">
        <v>137</v>
      </c>
      <c r="C27" s="10">
        <v>43283</v>
      </c>
      <c r="D27" s="11">
        <v>23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138</v>
      </c>
      <c r="J27" s="12" t="s">
        <v>139</v>
      </c>
      <c r="K27" s="13" t="s">
        <v>84</v>
      </c>
      <c r="L27" s="11" t="str">
        <f>"000029"</f>
        <v>000029</v>
      </c>
      <c r="M27" s="10">
        <v>43253</v>
      </c>
      <c r="N27" s="11" t="str">
        <f>"000036"</f>
        <v>000036</v>
      </c>
      <c r="O27" s="10">
        <v>43253</v>
      </c>
      <c r="P27" s="11" t="str">
        <f>"000056"</f>
        <v>000056</v>
      </c>
      <c r="Q27" s="10">
        <v>43253</v>
      </c>
      <c r="R27" s="11">
        <v>18</v>
      </c>
      <c r="S27" s="11" t="str">
        <f>"002983"</f>
        <v>002983</v>
      </c>
      <c r="T27" s="10">
        <v>43276</v>
      </c>
      <c r="U27" s="14">
        <v>49.800629999999998</v>
      </c>
      <c r="V27" s="14">
        <v>4.4859999999999998</v>
      </c>
      <c r="W27" s="14">
        <v>45.314630000000001</v>
      </c>
      <c r="X27" s="11">
        <v>104</v>
      </c>
      <c r="Y27" s="10">
        <v>43283</v>
      </c>
      <c r="Z27" s="11">
        <v>123456789</v>
      </c>
      <c r="AA27" s="12" t="s">
        <v>131</v>
      </c>
      <c r="AB27" s="11" t="s">
        <v>86</v>
      </c>
      <c r="AC27" s="12" t="s">
        <v>87</v>
      </c>
      <c r="AD27" s="11" t="s">
        <v>44</v>
      </c>
      <c r="AE27" s="12" t="s">
        <v>45</v>
      </c>
      <c r="AF27" s="14">
        <v>0.49800629999999996</v>
      </c>
      <c r="AG27" s="11" t="s">
        <v>69</v>
      </c>
    </row>
    <row r="28" spans="1:33" x14ac:dyDescent="0.2">
      <c r="A28" s="8">
        <v>2787</v>
      </c>
      <c r="B28" s="9" t="s">
        <v>137</v>
      </c>
      <c r="C28" s="10">
        <v>43283</v>
      </c>
      <c r="D28" s="11">
        <v>23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140</v>
      </c>
      <c r="J28" s="12" t="s">
        <v>141</v>
      </c>
      <c r="K28" s="13" t="s">
        <v>84</v>
      </c>
      <c r="L28" s="11" t="str">
        <f>"000073"</f>
        <v>000073</v>
      </c>
      <c r="M28" s="10">
        <v>42586</v>
      </c>
      <c r="N28" s="11" t="str">
        <f>"06"</f>
        <v>06</v>
      </c>
      <c r="O28" s="10" t="s">
        <v>142</v>
      </c>
      <c r="P28" s="11" t="str">
        <f>"024"</f>
        <v>024</v>
      </c>
      <c r="Q28" s="10">
        <v>17</v>
      </c>
      <c r="R28" s="11">
        <v>16</v>
      </c>
      <c r="S28" s="11" t="str">
        <f>"002959"</f>
        <v>002959</v>
      </c>
      <c r="T28" s="10">
        <v>43276</v>
      </c>
      <c r="U28" s="14">
        <v>7.1327699999999998</v>
      </c>
      <c r="V28" s="14">
        <v>0.94279999999999997</v>
      </c>
      <c r="W28" s="14">
        <v>6.1899699999999998</v>
      </c>
      <c r="X28" s="11">
        <v>108</v>
      </c>
      <c r="Y28" s="10">
        <v>43283</v>
      </c>
      <c r="Z28" s="11">
        <v>8904148945</v>
      </c>
      <c r="AA28" s="12" t="s">
        <v>143</v>
      </c>
      <c r="AB28" s="11" t="s">
        <v>144</v>
      </c>
      <c r="AC28" s="12" t="s">
        <v>145</v>
      </c>
      <c r="AD28" s="11" t="s">
        <v>112</v>
      </c>
      <c r="AE28" s="12" t="s">
        <v>113</v>
      </c>
      <c r="AF28" s="14">
        <v>7.1327699999999994E-2</v>
      </c>
      <c r="AG28" s="11" t="s">
        <v>46</v>
      </c>
    </row>
    <row r="29" spans="1:33" x14ac:dyDescent="0.2">
      <c r="A29" s="8">
        <v>3141</v>
      </c>
      <c r="B29" s="9" t="s">
        <v>137</v>
      </c>
      <c r="C29" s="10">
        <v>43290</v>
      </c>
      <c r="D29" s="11">
        <v>23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146</v>
      </c>
      <c r="J29" s="12" t="s">
        <v>147</v>
      </c>
      <c r="K29" s="13" t="s">
        <v>84</v>
      </c>
      <c r="L29" s="11" t="str">
        <f>"000132"</f>
        <v>000132</v>
      </c>
      <c r="M29" s="10">
        <v>42598</v>
      </c>
      <c r="N29" s="11" t="str">
        <f>"000084"</f>
        <v>000084</v>
      </c>
      <c r="O29" s="10">
        <v>42704</v>
      </c>
      <c r="P29" s="11" t="str">
        <f>"000339"</f>
        <v>000339</v>
      </c>
      <c r="Q29" s="10">
        <v>42732</v>
      </c>
      <c r="R29" s="11">
        <v>16</v>
      </c>
      <c r="S29" s="11" t="str">
        <f>"003405"</f>
        <v>003405</v>
      </c>
      <c r="T29" s="10">
        <v>43288</v>
      </c>
      <c r="U29" s="14">
        <v>8.7935099999999995</v>
      </c>
      <c r="V29" s="14">
        <v>0.68500000000000005</v>
      </c>
      <c r="W29" s="14">
        <v>8.1085100000000008</v>
      </c>
      <c r="X29" s="11">
        <v>117</v>
      </c>
      <c r="Y29" s="10">
        <v>43290</v>
      </c>
      <c r="Z29" s="11">
        <v>123456789</v>
      </c>
      <c r="AA29" s="12" t="s">
        <v>148</v>
      </c>
      <c r="AB29" s="11" t="s">
        <v>42</v>
      </c>
      <c r="AC29" s="12" t="s">
        <v>43</v>
      </c>
      <c r="AD29" s="11" t="s">
        <v>44</v>
      </c>
      <c r="AE29" s="12" t="s">
        <v>45</v>
      </c>
      <c r="AF29" s="14">
        <v>8.7935099999999988E-2</v>
      </c>
      <c r="AG29" s="11" t="s">
        <v>46</v>
      </c>
    </row>
    <row r="30" spans="1:33" x14ac:dyDescent="0.2">
      <c r="A30" s="8">
        <v>3142</v>
      </c>
      <c r="B30" s="9" t="s">
        <v>137</v>
      </c>
      <c r="C30" s="10">
        <v>43290</v>
      </c>
      <c r="D30" s="11">
        <v>23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149</v>
      </c>
      <c r="J30" s="12" t="s">
        <v>150</v>
      </c>
      <c r="K30" s="13" t="s">
        <v>59</v>
      </c>
      <c r="L30" s="11" t="str">
        <f>"000134"</f>
        <v>000134</v>
      </c>
      <c r="M30" s="10">
        <v>42598</v>
      </c>
      <c r="N30" s="11" t="str">
        <f>"000086"</f>
        <v>000086</v>
      </c>
      <c r="O30" s="10">
        <v>42704</v>
      </c>
      <c r="P30" s="11" t="str">
        <f>"000342"</f>
        <v>000342</v>
      </c>
      <c r="Q30" s="10">
        <v>42732</v>
      </c>
      <c r="R30" s="11">
        <v>16</v>
      </c>
      <c r="S30" s="11" t="str">
        <f>"003407"</f>
        <v>003407</v>
      </c>
      <c r="T30" s="10">
        <v>43288</v>
      </c>
      <c r="U30" s="14">
        <v>4.6436900000000003</v>
      </c>
      <c r="V30" s="14">
        <v>0.3574</v>
      </c>
      <c r="W30" s="14">
        <v>4.2862900000000002</v>
      </c>
      <c r="X30" s="11">
        <v>117</v>
      </c>
      <c r="Y30" s="10">
        <v>43290</v>
      </c>
      <c r="Z30" s="11">
        <v>8861473497</v>
      </c>
      <c r="AA30" s="12" t="s">
        <v>151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v>4.6436900000000003E-2</v>
      </c>
      <c r="AG30" s="11" t="s">
        <v>46</v>
      </c>
    </row>
    <row r="31" spans="1:33" x14ac:dyDescent="0.2">
      <c r="A31" s="8">
        <v>3233</v>
      </c>
      <c r="B31" s="9" t="s">
        <v>137</v>
      </c>
      <c r="C31" s="10">
        <v>43293</v>
      </c>
      <c r="D31" s="11">
        <v>23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152</v>
      </c>
      <c r="J31" s="12" t="s">
        <v>153</v>
      </c>
      <c r="K31" s="13" t="s">
        <v>84</v>
      </c>
      <c r="L31" s="11" t="str">
        <f>"000052"</f>
        <v>000052</v>
      </c>
      <c r="M31" s="10">
        <v>43281</v>
      </c>
      <c r="N31" s="11" t="str">
        <f>"000064"</f>
        <v>000064</v>
      </c>
      <c r="O31" s="10">
        <v>43281</v>
      </c>
      <c r="P31" s="11" t="str">
        <f>"000106"</f>
        <v>000106</v>
      </c>
      <c r="Q31" s="10">
        <v>43281</v>
      </c>
      <c r="R31" s="11">
        <v>18</v>
      </c>
      <c r="S31" s="11" t="str">
        <f>"003564"</f>
        <v>003564</v>
      </c>
      <c r="T31" s="10">
        <v>43292</v>
      </c>
      <c r="U31" s="14">
        <v>24.91235</v>
      </c>
      <c r="V31" s="14">
        <v>2.2149999999999999</v>
      </c>
      <c r="W31" s="14">
        <v>22.69735</v>
      </c>
      <c r="X31" s="11">
        <v>122</v>
      </c>
      <c r="Y31" s="10">
        <v>43293</v>
      </c>
      <c r="Z31" s="11">
        <v>123456789</v>
      </c>
      <c r="AA31" s="12" t="s">
        <v>154</v>
      </c>
      <c r="AB31" s="11" t="s">
        <v>86</v>
      </c>
      <c r="AC31" s="12" t="s">
        <v>87</v>
      </c>
      <c r="AD31" s="11" t="s">
        <v>44</v>
      </c>
      <c r="AE31" s="12" t="s">
        <v>45</v>
      </c>
      <c r="AF31" s="14">
        <v>0.2491235</v>
      </c>
      <c r="AG31" s="11" t="s">
        <v>69</v>
      </c>
    </row>
    <row r="32" spans="1:33" x14ac:dyDescent="0.2">
      <c r="A32" s="8">
        <v>3425</v>
      </c>
      <c r="B32" s="9" t="s">
        <v>137</v>
      </c>
      <c r="C32" s="10">
        <v>43299</v>
      </c>
      <c r="D32" s="11">
        <v>23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155</v>
      </c>
      <c r="J32" s="12" t="s">
        <v>156</v>
      </c>
      <c r="K32" s="13" t="s">
        <v>84</v>
      </c>
      <c r="L32" s="11" t="str">
        <f>"000064"</f>
        <v>000064</v>
      </c>
      <c r="M32" s="10">
        <v>42244</v>
      </c>
      <c r="N32" s="11" t="str">
        <f>"000018"</f>
        <v>000018</v>
      </c>
      <c r="O32" s="10">
        <v>42527</v>
      </c>
      <c r="P32" s="11" t="str">
        <f>"000042"</f>
        <v>000042</v>
      </c>
      <c r="Q32" s="10">
        <v>42531</v>
      </c>
      <c r="R32" s="11">
        <v>12</v>
      </c>
      <c r="S32" s="11" t="str">
        <f>"008110"</f>
        <v>008110</v>
      </c>
      <c r="T32" s="10">
        <v>42801</v>
      </c>
      <c r="U32" s="14">
        <v>1.7780400000000001</v>
      </c>
      <c r="V32" s="14">
        <v>0.2165</v>
      </c>
      <c r="W32" s="14">
        <v>1.5615399999999999</v>
      </c>
      <c r="X32" s="11">
        <v>127</v>
      </c>
      <c r="Y32" s="10">
        <v>43299</v>
      </c>
      <c r="Z32" s="11">
        <v>9901801661</v>
      </c>
      <c r="AA32" s="12" t="s">
        <v>157</v>
      </c>
      <c r="AB32" s="11" t="s">
        <v>158</v>
      </c>
      <c r="AC32" s="12" t="s">
        <v>159</v>
      </c>
      <c r="AD32" s="11" t="s">
        <v>112</v>
      </c>
      <c r="AE32" s="12" t="s">
        <v>113</v>
      </c>
      <c r="AF32" s="14">
        <v>1.7780400000000002E-2</v>
      </c>
      <c r="AG32" s="11" t="s">
        <v>46</v>
      </c>
    </row>
    <row r="33" spans="1:33" x14ac:dyDescent="0.2">
      <c r="A33" s="8">
        <v>3426</v>
      </c>
      <c r="B33" s="9" t="s">
        <v>137</v>
      </c>
      <c r="C33" s="10">
        <v>43299</v>
      </c>
      <c r="D33" s="11">
        <v>23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160</v>
      </c>
      <c r="J33" s="12" t="s">
        <v>161</v>
      </c>
      <c r="K33" s="13" t="s">
        <v>84</v>
      </c>
      <c r="L33" s="11" t="str">
        <f>"000030"</f>
        <v>000030</v>
      </c>
      <c r="M33" s="10">
        <v>43038</v>
      </c>
      <c r="N33" s="11" t="str">
        <f>"000204"</f>
        <v>000204</v>
      </c>
      <c r="O33" s="10">
        <v>43166</v>
      </c>
      <c r="P33" s="11" t="str">
        <f>"000193"</f>
        <v>000193</v>
      </c>
      <c r="Q33" s="10">
        <v>43166</v>
      </c>
      <c r="R33" s="11">
        <v>16</v>
      </c>
      <c r="S33" s="11" t="str">
        <f>"003963"</f>
        <v>003963</v>
      </c>
      <c r="T33" s="10">
        <v>43299</v>
      </c>
      <c r="U33" s="14">
        <v>4.9318600000000004</v>
      </c>
      <c r="V33" s="14">
        <v>0.41077000000000002</v>
      </c>
      <c r="W33" s="14">
        <v>4.5210900000000001</v>
      </c>
      <c r="X33" s="11">
        <v>127</v>
      </c>
      <c r="Y33" s="10">
        <v>43299</v>
      </c>
      <c r="Z33" s="11">
        <v>9901801661</v>
      </c>
      <c r="AA33" s="12" t="s">
        <v>162</v>
      </c>
      <c r="AB33" s="11" t="s">
        <v>158</v>
      </c>
      <c r="AC33" s="12" t="s">
        <v>159</v>
      </c>
      <c r="AD33" s="11" t="s">
        <v>112</v>
      </c>
      <c r="AE33" s="12" t="s">
        <v>113</v>
      </c>
      <c r="AF33" s="14">
        <v>4.9318600000000004E-2</v>
      </c>
      <c r="AG33" s="11" t="s">
        <v>46</v>
      </c>
    </row>
    <row r="34" spans="1:33" x14ac:dyDescent="0.2">
      <c r="A34" s="8">
        <v>3427</v>
      </c>
      <c r="B34" s="9" t="s">
        <v>137</v>
      </c>
      <c r="C34" s="10">
        <v>43299</v>
      </c>
      <c r="D34" s="11">
        <v>23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160</v>
      </c>
      <c r="J34" s="12" t="s">
        <v>161</v>
      </c>
      <c r="K34" s="13" t="s">
        <v>84</v>
      </c>
      <c r="L34" s="11" t="str">
        <f>"000030"</f>
        <v>000030</v>
      </c>
      <c r="M34" s="10">
        <v>43038</v>
      </c>
      <c r="N34" s="11" t="str">
        <f>"000204"</f>
        <v>000204</v>
      </c>
      <c r="O34" s="10">
        <v>43166</v>
      </c>
      <c r="P34" s="11" t="str">
        <f>"000193"</f>
        <v>000193</v>
      </c>
      <c r="Q34" s="10">
        <v>43166</v>
      </c>
      <c r="R34" s="11">
        <v>16</v>
      </c>
      <c r="S34" s="11" t="str">
        <f>"003963"</f>
        <v>003963</v>
      </c>
      <c r="T34" s="10">
        <v>43299</v>
      </c>
      <c r="U34" s="14">
        <v>2.4141400000000002</v>
      </c>
      <c r="V34" s="14">
        <v>0.17799999999999999</v>
      </c>
      <c r="W34" s="14">
        <v>2.2361399999999998</v>
      </c>
      <c r="X34" s="11">
        <v>127</v>
      </c>
      <c r="Y34" s="10">
        <v>43299</v>
      </c>
      <c r="Z34" s="11">
        <v>9901801661</v>
      </c>
      <c r="AA34" s="12" t="s">
        <v>162</v>
      </c>
      <c r="AB34" s="11" t="s">
        <v>158</v>
      </c>
      <c r="AC34" s="12" t="s">
        <v>159</v>
      </c>
      <c r="AD34" s="11" t="s">
        <v>112</v>
      </c>
      <c r="AE34" s="12" t="s">
        <v>113</v>
      </c>
      <c r="AF34" s="14">
        <v>2.41414E-2</v>
      </c>
      <c r="AG34" s="11" t="s">
        <v>46</v>
      </c>
    </row>
    <row r="35" spans="1:33" x14ac:dyDescent="0.2">
      <c r="A35" s="8">
        <v>3428</v>
      </c>
      <c r="B35" s="9" t="s">
        <v>137</v>
      </c>
      <c r="C35" s="10">
        <v>43299</v>
      </c>
      <c r="D35" s="11">
        <v>23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160</v>
      </c>
      <c r="J35" s="12" t="s">
        <v>161</v>
      </c>
      <c r="K35" s="13" t="s">
        <v>84</v>
      </c>
      <c r="L35" s="11" t="str">
        <f>"000030"</f>
        <v>000030</v>
      </c>
      <c r="M35" s="10">
        <v>43038</v>
      </c>
      <c r="N35" s="11" t="str">
        <f>"000204"</f>
        <v>000204</v>
      </c>
      <c r="O35" s="10">
        <v>43166</v>
      </c>
      <c r="P35" s="11" t="str">
        <f>"000193"</f>
        <v>000193</v>
      </c>
      <c r="Q35" s="10">
        <v>43166</v>
      </c>
      <c r="R35" s="11">
        <v>16</v>
      </c>
      <c r="S35" s="11" t="str">
        <f>"003963"</f>
        <v>003963</v>
      </c>
      <c r="T35" s="10">
        <v>43299</v>
      </c>
      <c r="U35" s="14">
        <v>0.79352999999999996</v>
      </c>
      <c r="V35" s="14">
        <v>5.7000000000000002E-2</v>
      </c>
      <c r="W35" s="14">
        <v>0.73653000000000002</v>
      </c>
      <c r="X35" s="11">
        <v>127</v>
      </c>
      <c r="Y35" s="10">
        <v>43299</v>
      </c>
      <c r="Z35" s="11">
        <v>9901801661</v>
      </c>
      <c r="AA35" s="12" t="s">
        <v>162</v>
      </c>
      <c r="AB35" s="11" t="s">
        <v>158</v>
      </c>
      <c r="AC35" s="12" t="s">
        <v>159</v>
      </c>
      <c r="AD35" s="11" t="s">
        <v>112</v>
      </c>
      <c r="AE35" s="12" t="s">
        <v>113</v>
      </c>
      <c r="AF35" s="14">
        <v>7.9352999999999993E-3</v>
      </c>
      <c r="AG35" s="11" t="s">
        <v>46</v>
      </c>
    </row>
    <row r="36" spans="1:33" x14ac:dyDescent="0.2">
      <c r="A36" s="8">
        <v>3697</v>
      </c>
      <c r="B36" s="9" t="s">
        <v>137</v>
      </c>
      <c r="C36" s="10">
        <v>43301</v>
      </c>
      <c r="D36" s="11">
        <v>23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160</v>
      </c>
      <c r="J36" s="12" t="s">
        <v>161</v>
      </c>
      <c r="K36" s="13" t="s">
        <v>84</v>
      </c>
      <c r="L36" s="11" t="str">
        <f>"000030"</f>
        <v>000030</v>
      </c>
      <c r="M36" s="10">
        <v>43038</v>
      </c>
      <c r="N36" s="11" t="str">
        <f>"000204"</f>
        <v>000204</v>
      </c>
      <c r="O36" s="10">
        <v>43166</v>
      </c>
      <c r="P36" s="11" t="str">
        <f>"000193"</f>
        <v>000193</v>
      </c>
      <c r="Q36" s="10">
        <v>43166</v>
      </c>
      <c r="R36" s="11">
        <v>16</v>
      </c>
      <c r="S36" s="11" t="str">
        <f>"003963"</f>
        <v>003963</v>
      </c>
      <c r="T36" s="10">
        <v>43299</v>
      </c>
      <c r="U36" s="14">
        <v>0.82196999999999998</v>
      </c>
      <c r="V36" s="14">
        <v>7.2669999999999998E-2</v>
      </c>
      <c r="W36" s="14">
        <v>0.74929999999999997</v>
      </c>
      <c r="X36" s="11">
        <v>134</v>
      </c>
      <c r="Y36" s="10">
        <v>43301</v>
      </c>
      <c r="Z36" s="11">
        <v>9901801661</v>
      </c>
      <c r="AA36" s="12" t="s">
        <v>162</v>
      </c>
      <c r="AB36" s="11" t="s">
        <v>158</v>
      </c>
      <c r="AC36" s="12" t="s">
        <v>159</v>
      </c>
      <c r="AD36" s="11" t="s">
        <v>112</v>
      </c>
      <c r="AE36" s="12" t="s">
        <v>113</v>
      </c>
      <c r="AF36" s="14">
        <v>8.2196999999999999E-3</v>
      </c>
      <c r="AG36" s="11" t="s">
        <v>46</v>
      </c>
    </row>
    <row r="37" spans="1:33" x14ac:dyDescent="0.2">
      <c r="A37" s="8">
        <v>3698</v>
      </c>
      <c r="B37" s="9" t="s">
        <v>137</v>
      </c>
      <c r="C37" s="10">
        <v>43301</v>
      </c>
      <c r="D37" s="11">
        <v>23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160</v>
      </c>
      <c r="J37" s="12" t="s">
        <v>161</v>
      </c>
      <c r="K37" s="13" t="s">
        <v>84</v>
      </c>
      <c r="L37" s="11" t="str">
        <f>"000030"</f>
        <v>000030</v>
      </c>
      <c r="M37" s="10">
        <v>43038</v>
      </c>
      <c r="N37" s="11" t="str">
        <f>"000204"</f>
        <v>000204</v>
      </c>
      <c r="O37" s="10">
        <v>43166</v>
      </c>
      <c r="P37" s="11" t="str">
        <f>"000193"</f>
        <v>000193</v>
      </c>
      <c r="Q37" s="10">
        <v>43166</v>
      </c>
      <c r="R37" s="11">
        <v>16</v>
      </c>
      <c r="S37" s="11" t="str">
        <f>"003963"</f>
        <v>003963</v>
      </c>
      <c r="T37" s="10">
        <v>43299</v>
      </c>
      <c r="U37" s="14">
        <v>0.82196999999999998</v>
      </c>
      <c r="V37" s="14">
        <v>7.5329999999999994E-2</v>
      </c>
      <c r="W37" s="14">
        <v>0.74663999999999997</v>
      </c>
      <c r="X37" s="11">
        <v>134</v>
      </c>
      <c r="Y37" s="10">
        <v>43301</v>
      </c>
      <c r="Z37" s="11">
        <v>9901801661</v>
      </c>
      <c r="AA37" s="12" t="s">
        <v>162</v>
      </c>
      <c r="AB37" s="11" t="s">
        <v>158</v>
      </c>
      <c r="AC37" s="12" t="s">
        <v>159</v>
      </c>
      <c r="AD37" s="11" t="s">
        <v>112</v>
      </c>
      <c r="AE37" s="12" t="s">
        <v>113</v>
      </c>
      <c r="AF37" s="14">
        <v>8.2196999999999999E-3</v>
      </c>
      <c r="AG37" s="11" t="s">
        <v>46</v>
      </c>
    </row>
    <row r="38" spans="1:33" x14ac:dyDescent="0.2">
      <c r="A38" s="8">
        <v>3897</v>
      </c>
      <c r="B38" s="9" t="s">
        <v>137</v>
      </c>
      <c r="C38" s="10">
        <v>43305</v>
      </c>
      <c r="D38" s="11">
        <v>23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163</v>
      </c>
      <c r="J38" s="12" t="s">
        <v>164</v>
      </c>
      <c r="K38" s="13" t="s">
        <v>59</v>
      </c>
      <c r="L38" s="11" t="str">
        <f>"0.0141"</f>
        <v>0.0141</v>
      </c>
      <c r="M38" s="10">
        <v>42605</v>
      </c>
      <c r="N38" s="11" t="str">
        <f>"000081"</f>
        <v>000081</v>
      </c>
      <c r="O38" s="10">
        <v>42704</v>
      </c>
      <c r="P38" s="11" t="str">
        <f>"000367"</f>
        <v>000367</v>
      </c>
      <c r="Q38" s="10">
        <v>42760</v>
      </c>
      <c r="R38" s="11">
        <v>16</v>
      </c>
      <c r="S38" s="11" t="str">
        <f>"004089"</f>
        <v>004089</v>
      </c>
      <c r="T38" s="10">
        <v>43301</v>
      </c>
      <c r="U38" s="14">
        <v>4.6100000000000003</v>
      </c>
      <c r="V38" s="14">
        <v>0.45240000000000002</v>
      </c>
      <c r="W38" s="14">
        <v>4.1576000000000004</v>
      </c>
      <c r="X38" s="11">
        <v>139</v>
      </c>
      <c r="Y38" s="10">
        <v>43305</v>
      </c>
      <c r="Z38" s="11">
        <v>123456789</v>
      </c>
      <c r="AA38" s="12" t="s">
        <v>165</v>
      </c>
      <c r="AB38" s="11" t="s">
        <v>42</v>
      </c>
      <c r="AC38" s="12" t="s">
        <v>43</v>
      </c>
      <c r="AD38" s="11" t="s">
        <v>44</v>
      </c>
      <c r="AE38" s="12" t="s">
        <v>45</v>
      </c>
      <c r="AF38" s="14">
        <v>4.6100000000000002E-2</v>
      </c>
      <c r="AG38" s="11" t="s">
        <v>46</v>
      </c>
    </row>
    <row r="39" spans="1:33" x14ac:dyDescent="0.2">
      <c r="A39" s="8">
        <v>4384</v>
      </c>
      <c r="B39" s="9" t="s">
        <v>166</v>
      </c>
      <c r="C39" s="10">
        <v>43318</v>
      </c>
      <c r="D39" s="11">
        <v>23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167</v>
      </c>
      <c r="J39" s="12" t="s">
        <v>168</v>
      </c>
      <c r="K39" s="13" t="s">
        <v>55</v>
      </c>
      <c r="L39" s="11" t="str">
        <f>"000007"</f>
        <v>000007</v>
      </c>
      <c r="M39" s="10">
        <v>42937</v>
      </c>
      <c r="N39" s="11" t="str">
        <f>"000002"</f>
        <v>000002</v>
      </c>
      <c r="O39" s="10">
        <v>42937</v>
      </c>
      <c r="P39" s="11" t="str">
        <f>"000048"</f>
        <v>000048</v>
      </c>
      <c r="Q39" s="10">
        <v>42941</v>
      </c>
      <c r="R39" s="11">
        <v>17</v>
      </c>
      <c r="S39" s="11" t="str">
        <f>"004741"</f>
        <v>004741</v>
      </c>
      <c r="T39" s="10">
        <v>43314</v>
      </c>
      <c r="U39" s="14">
        <v>9.3904200000000007</v>
      </c>
      <c r="V39" s="14">
        <v>0.69799999999999995</v>
      </c>
      <c r="W39" s="14">
        <v>8.6924200000000003</v>
      </c>
      <c r="X39" s="11">
        <v>160</v>
      </c>
      <c r="Y39" s="10">
        <v>43318</v>
      </c>
      <c r="Z39" s="11">
        <v>123456789</v>
      </c>
      <c r="AA39" s="12" t="s">
        <v>169</v>
      </c>
      <c r="AB39" s="11" t="s">
        <v>42</v>
      </c>
      <c r="AC39" s="12" t="s">
        <v>43</v>
      </c>
      <c r="AD39" s="11" t="s">
        <v>44</v>
      </c>
      <c r="AE39" s="12" t="s">
        <v>45</v>
      </c>
      <c r="AF39" s="14">
        <v>9.3904200000000007E-2</v>
      </c>
      <c r="AG39" s="11" t="s">
        <v>46</v>
      </c>
    </row>
    <row r="40" spans="1:33" x14ac:dyDescent="0.2">
      <c r="A40" s="8">
        <v>4385</v>
      </c>
      <c r="B40" s="9" t="s">
        <v>166</v>
      </c>
      <c r="C40" s="10">
        <v>43318</v>
      </c>
      <c r="D40" s="11">
        <v>23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170</v>
      </c>
      <c r="J40" s="12" t="s">
        <v>171</v>
      </c>
      <c r="K40" s="13" t="s">
        <v>55</v>
      </c>
      <c r="L40" s="11" t="str">
        <f>"000008"</f>
        <v>000008</v>
      </c>
      <c r="M40" s="10">
        <v>42937</v>
      </c>
      <c r="N40" s="11" t="str">
        <f>"000003"</f>
        <v>000003</v>
      </c>
      <c r="O40" s="10">
        <v>42937</v>
      </c>
      <c r="P40" s="11" t="str">
        <f>"000049"</f>
        <v>000049</v>
      </c>
      <c r="Q40" s="10">
        <v>42941</v>
      </c>
      <c r="R40" s="11">
        <v>17</v>
      </c>
      <c r="S40" s="11" t="str">
        <f>"004742"</f>
        <v>004742</v>
      </c>
      <c r="T40" s="10">
        <v>43314</v>
      </c>
      <c r="U40" s="14">
        <v>9.4319000000000006</v>
      </c>
      <c r="V40" s="14">
        <v>0.71840000000000004</v>
      </c>
      <c r="W40" s="14">
        <v>8.7134999999999998</v>
      </c>
      <c r="X40" s="11">
        <v>160</v>
      </c>
      <c r="Y40" s="10">
        <v>43318</v>
      </c>
      <c r="Z40" s="11">
        <v>123456789</v>
      </c>
      <c r="AA40" s="12" t="s">
        <v>172</v>
      </c>
      <c r="AB40" s="11" t="s">
        <v>42</v>
      </c>
      <c r="AC40" s="12" t="s">
        <v>43</v>
      </c>
      <c r="AD40" s="11" t="s">
        <v>44</v>
      </c>
      <c r="AE40" s="12" t="s">
        <v>45</v>
      </c>
      <c r="AF40" s="14">
        <v>9.4319E-2</v>
      </c>
      <c r="AG40" s="11" t="s">
        <v>46</v>
      </c>
    </row>
    <row r="41" spans="1:33" x14ac:dyDescent="0.2">
      <c r="A41" s="8">
        <v>4943</v>
      </c>
      <c r="B41" s="9" t="s">
        <v>166</v>
      </c>
      <c r="C41" s="10">
        <v>43330</v>
      </c>
      <c r="D41" s="11">
        <v>23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173</v>
      </c>
      <c r="J41" s="12" t="s">
        <v>174</v>
      </c>
      <c r="K41" s="13" t="s">
        <v>175</v>
      </c>
      <c r="L41" s="11" t="str">
        <f>"000130"</f>
        <v>000130</v>
      </c>
      <c r="M41" s="10">
        <v>43023</v>
      </c>
      <c r="N41" s="11" t="str">
        <f>"000078"</f>
        <v>000078</v>
      </c>
      <c r="O41" s="10">
        <v>43308</v>
      </c>
      <c r="P41" s="11" t="str">
        <f>"000133"</f>
        <v>000133</v>
      </c>
      <c r="Q41" s="10">
        <v>43308</v>
      </c>
      <c r="R41" s="11">
        <v>17</v>
      </c>
      <c r="S41" s="11" t="str">
        <f>"005105"</f>
        <v>005105</v>
      </c>
      <c r="T41" s="10">
        <v>43325</v>
      </c>
      <c r="U41" s="14">
        <v>1.29278</v>
      </c>
      <c r="V41" s="14">
        <v>3.73E-2</v>
      </c>
      <c r="W41" s="14">
        <v>1.2554799999999999</v>
      </c>
      <c r="X41" s="11">
        <v>173</v>
      </c>
      <c r="Y41" s="10">
        <v>43330</v>
      </c>
      <c r="Z41" s="11">
        <v>123456789</v>
      </c>
      <c r="AA41" s="12" t="s">
        <v>176</v>
      </c>
      <c r="AB41" s="11" t="s">
        <v>50</v>
      </c>
      <c r="AC41" s="12" t="s">
        <v>51</v>
      </c>
      <c r="AD41" s="11" t="s">
        <v>44</v>
      </c>
      <c r="AE41" s="12" t="s">
        <v>45</v>
      </c>
      <c r="AF41" s="14">
        <v>1.29278E-2</v>
      </c>
      <c r="AG41" s="11" t="s">
        <v>63</v>
      </c>
    </row>
    <row r="42" spans="1:33" x14ac:dyDescent="0.2">
      <c r="A42" s="8">
        <v>4944</v>
      </c>
      <c r="B42" s="9" t="s">
        <v>166</v>
      </c>
      <c r="C42" s="10">
        <v>43330</v>
      </c>
      <c r="D42" s="11">
        <v>23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177</v>
      </c>
      <c r="J42" s="12" t="s">
        <v>178</v>
      </c>
      <c r="K42" s="13" t="s">
        <v>175</v>
      </c>
      <c r="L42" s="11" t="str">
        <f>"000097"</f>
        <v>000097</v>
      </c>
      <c r="M42" s="10">
        <v>42570</v>
      </c>
      <c r="N42" s="11" t="str">
        <f>"000127"</f>
        <v>000127</v>
      </c>
      <c r="O42" s="10">
        <v>42794</v>
      </c>
      <c r="P42" s="11" t="str">
        <f>"000529"</f>
        <v>000529</v>
      </c>
      <c r="Q42" s="10">
        <v>42825</v>
      </c>
      <c r="R42" s="11">
        <v>16</v>
      </c>
      <c r="S42" s="11" t="str">
        <f>"005195"</f>
        <v>005195</v>
      </c>
      <c r="T42" s="10">
        <v>43326</v>
      </c>
      <c r="U42" s="14">
        <v>0.91449000000000003</v>
      </c>
      <c r="V42" s="14">
        <v>4.5240000000000002E-2</v>
      </c>
      <c r="W42" s="14">
        <v>0.86924999999999997</v>
      </c>
      <c r="X42" s="11">
        <v>174</v>
      </c>
      <c r="Y42" s="10">
        <v>43330</v>
      </c>
      <c r="Z42" s="11">
        <v>7892168416</v>
      </c>
      <c r="AA42" s="12" t="s">
        <v>49</v>
      </c>
      <c r="AB42" s="11" t="s">
        <v>42</v>
      </c>
      <c r="AC42" s="12" t="s">
        <v>43</v>
      </c>
      <c r="AD42" s="11" t="s">
        <v>44</v>
      </c>
      <c r="AE42" s="12" t="s">
        <v>45</v>
      </c>
      <c r="AF42" s="14">
        <v>9.1449000000000009E-3</v>
      </c>
      <c r="AG42" s="11" t="s">
        <v>46</v>
      </c>
    </row>
    <row r="43" spans="1:33" x14ac:dyDescent="0.2">
      <c r="A43" s="8">
        <v>4945</v>
      </c>
      <c r="B43" s="9" t="s">
        <v>166</v>
      </c>
      <c r="C43" s="10">
        <v>43330</v>
      </c>
      <c r="D43" s="11">
        <v>23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179</v>
      </c>
      <c r="J43" s="12" t="s">
        <v>180</v>
      </c>
      <c r="K43" s="13" t="s">
        <v>175</v>
      </c>
      <c r="L43" s="11" t="str">
        <f>"000103"</f>
        <v>000103</v>
      </c>
      <c r="M43" s="10">
        <v>42570</v>
      </c>
      <c r="N43" s="11" t="str">
        <f>"000122"</f>
        <v>000122</v>
      </c>
      <c r="O43" s="10">
        <v>42794</v>
      </c>
      <c r="P43" s="11" t="str">
        <f>"000530"</f>
        <v>000530</v>
      </c>
      <c r="Q43" s="10">
        <v>42825</v>
      </c>
      <c r="R43" s="11">
        <v>16</v>
      </c>
      <c r="S43" s="11" t="str">
        <f>"005196"</f>
        <v>005196</v>
      </c>
      <c r="T43" s="10">
        <v>43326</v>
      </c>
      <c r="U43" s="14">
        <v>1.901</v>
      </c>
      <c r="V43" s="14">
        <v>0.14996000000000001</v>
      </c>
      <c r="W43" s="14">
        <v>1.7510399999999999</v>
      </c>
      <c r="X43" s="11">
        <v>174</v>
      </c>
      <c r="Y43" s="10">
        <v>43330</v>
      </c>
      <c r="Z43" s="11">
        <v>7892168416</v>
      </c>
      <c r="AA43" s="12" t="s">
        <v>49</v>
      </c>
      <c r="AB43" s="11" t="s">
        <v>42</v>
      </c>
      <c r="AC43" s="12" t="s">
        <v>43</v>
      </c>
      <c r="AD43" s="11" t="s">
        <v>44</v>
      </c>
      <c r="AE43" s="12" t="s">
        <v>45</v>
      </c>
      <c r="AF43" s="14">
        <v>1.9009999999999999E-2</v>
      </c>
      <c r="AG43" s="11" t="s">
        <v>46</v>
      </c>
    </row>
    <row r="44" spans="1:33" x14ac:dyDescent="0.2">
      <c r="A44" s="8">
        <v>4946</v>
      </c>
      <c r="B44" s="9" t="s">
        <v>166</v>
      </c>
      <c r="C44" s="10">
        <v>43330</v>
      </c>
      <c r="D44" s="11">
        <v>23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181</v>
      </c>
      <c r="J44" s="12" t="s">
        <v>182</v>
      </c>
      <c r="K44" s="13" t="s">
        <v>59</v>
      </c>
      <c r="L44" s="11" t="str">
        <f>"000100"</f>
        <v>000100</v>
      </c>
      <c r="M44" s="10">
        <v>42570</v>
      </c>
      <c r="N44" s="11" t="str">
        <f>"000128"</f>
        <v>000128</v>
      </c>
      <c r="O44" s="10">
        <v>42794</v>
      </c>
      <c r="P44" s="11" t="str">
        <f>"000532"</f>
        <v>000532</v>
      </c>
      <c r="Q44" s="10">
        <v>42825</v>
      </c>
      <c r="R44" s="11">
        <v>16</v>
      </c>
      <c r="S44" s="11" t="str">
        <f>"005197"</f>
        <v>005197</v>
      </c>
      <c r="T44" s="10">
        <v>43326</v>
      </c>
      <c r="U44" s="14">
        <v>5.83</v>
      </c>
      <c r="V44" s="14">
        <v>0.44540000000000002</v>
      </c>
      <c r="W44" s="14">
        <v>5.3845999999999998</v>
      </c>
      <c r="X44" s="11">
        <v>174</v>
      </c>
      <c r="Y44" s="10">
        <v>43330</v>
      </c>
      <c r="Z44" s="11">
        <v>9743053015</v>
      </c>
      <c r="AA44" s="12" t="s">
        <v>183</v>
      </c>
      <c r="AB44" s="11" t="s">
        <v>42</v>
      </c>
      <c r="AC44" s="12" t="s">
        <v>43</v>
      </c>
      <c r="AD44" s="11" t="s">
        <v>44</v>
      </c>
      <c r="AE44" s="12" t="s">
        <v>45</v>
      </c>
      <c r="AF44" s="14">
        <v>5.8299999999999998E-2</v>
      </c>
      <c r="AG44" s="11" t="s">
        <v>46</v>
      </c>
    </row>
    <row r="45" spans="1:33" x14ac:dyDescent="0.2">
      <c r="A45" s="8">
        <v>4947</v>
      </c>
      <c r="B45" s="9" t="s">
        <v>166</v>
      </c>
      <c r="C45" s="10">
        <v>43330</v>
      </c>
      <c r="D45" s="11">
        <v>23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184</v>
      </c>
      <c r="J45" s="12" t="s">
        <v>185</v>
      </c>
      <c r="K45" s="13" t="s">
        <v>175</v>
      </c>
      <c r="L45" s="11" t="str">
        <f>"000099"</f>
        <v>000099</v>
      </c>
      <c r="M45" s="10">
        <v>42570</v>
      </c>
      <c r="N45" s="11" t="str">
        <f>"000126"</f>
        <v>000126</v>
      </c>
      <c r="O45" s="10">
        <v>42794</v>
      </c>
      <c r="P45" s="11" t="str">
        <f>"000533"</f>
        <v>000533</v>
      </c>
      <c r="Q45" s="10">
        <v>42825</v>
      </c>
      <c r="R45" s="11">
        <v>16</v>
      </c>
      <c r="S45" s="11" t="str">
        <f>"005198"</f>
        <v>005198</v>
      </c>
      <c r="T45" s="10">
        <v>43326</v>
      </c>
      <c r="U45" s="14">
        <v>1.9039999999999999</v>
      </c>
      <c r="V45" s="14">
        <v>0.1482</v>
      </c>
      <c r="W45" s="14">
        <v>1.7558</v>
      </c>
      <c r="X45" s="11">
        <v>174</v>
      </c>
      <c r="Y45" s="10">
        <v>43330</v>
      </c>
      <c r="Z45" s="11">
        <v>7892168416</v>
      </c>
      <c r="AA45" s="12" t="s">
        <v>49</v>
      </c>
      <c r="AB45" s="11" t="s">
        <v>42</v>
      </c>
      <c r="AC45" s="12" t="s">
        <v>43</v>
      </c>
      <c r="AD45" s="11" t="s">
        <v>44</v>
      </c>
      <c r="AE45" s="12" t="s">
        <v>45</v>
      </c>
      <c r="AF45" s="14">
        <v>1.9039999999999998E-2</v>
      </c>
      <c r="AG45" s="11" t="s">
        <v>46</v>
      </c>
    </row>
    <row r="46" spans="1:33" x14ac:dyDescent="0.2">
      <c r="A46" s="8">
        <v>4948</v>
      </c>
      <c r="B46" s="9" t="s">
        <v>166</v>
      </c>
      <c r="C46" s="10">
        <v>43330</v>
      </c>
      <c r="D46" s="11">
        <v>23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186</v>
      </c>
      <c r="J46" s="12" t="s">
        <v>187</v>
      </c>
      <c r="K46" s="13" t="s">
        <v>84</v>
      </c>
      <c r="L46" s="11" t="str">
        <f>"000102"</f>
        <v>000102</v>
      </c>
      <c r="M46" s="10">
        <v>42570</v>
      </c>
      <c r="N46" s="11" t="str">
        <f>"000125"</f>
        <v>000125</v>
      </c>
      <c r="O46" s="10">
        <v>42794</v>
      </c>
      <c r="P46" s="11" t="str">
        <f>"000534"</f>
        <v>000534</v>
      </c>
      <c r="Q46" s="10">
        <v>42825</v>
      </c>
      <c r="R46" s="11">
        <v>16</v>
      </c>
      <c r="S46" s="11" t="str">
        <f>"005199"</f>
        <v>005199</v>
      </c>
      <c r="T46" s="10">
        <v>43326</v>
      </c>
      <c r="U46" s="14">
        <v>1.9077999999999999</v>
      </c>
      <c r="V46" s="14">
        <v>0.14795</v>
      </c>
      <c r="W46" s="14">
        <v>1.7598499999999999</v>
      </c>
      <c r="X46" s="11">
        <v>174</v>
      </c>
      <c r="Y46" s="10">
        <v>43330</v>
      </c>
      <c r="Z46" s="11">
        <v>7892168416</v>
      </c>
      <c r="AA46" s="12" t="s">
        <v>183</v>
      </c>
      <c r="AB46" s="11" t="s">
        <v>42</v>
      </c>
      <c r="AC46" s="12" t="s">
        <v>43</v>
      </c>
      <c r="AD46" s="11" t="s">
        <v>44</v>
      </c>
      <c r="AE46" s="12" t="s">
        <v>45</v>
      </c>
      <c r="AF46" s="14">
        <v>1.9077999999999998E-2</v>
      </c>
      <c r="AG46" s="11" t="s">
        <v>46</v>
      </c>
    </row>
    <row r="47" spans="1:33" x14ac:dyDescent="0.2">
      <c r="A47" s="8">
        <v>4949</v>
      </c>
      <c r="B47" s="9" t="s">
        <v>166</v>
      </c>
      <c r="C47" s="10">
        <v>43330</v>
      </c>
      <c r="D47" s="11">
        <v>23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188</v>
      </c>
      <c r="J47" s="12" t="s">
        <v>189</v>
      </c>
      <c r="K47" s="13" t="s">
        <v>175</v>
      </c>
      <c r="L47" s="11" t="str">
        <f>"000096"</f>
        <v>000096</v>
      </c>
      <c r="M47" s="10">
        <v>42570</v>
      </c>
      <c r="N47" s="11" t="str">
        <f>"000124"</f>
        <v>000124</v>
      </c>
      <c r="O47" s="10">
        <v>42794</v>
      </c>
      <c r="P47" s="11" t="str">
        <f>"000535"</f>
        <v>000535</v>
      </c>
      <c r="Q47" s="10">
        <v>42825</v>
      </c>
      <c r="R47" s="11">
        <v>16</v>
      </c>
      <c r="S47" s="11" t="str">
        <f>"005200"</f>
        <v>005200</v>
      </c>
      <c r="T47" s="10">
        <v>43326</v>
      </c>
      <c r="U47" s="14">
        <v>1.9015500000000001</v>
      </c>
      <c r="V47" s="14">
        <v>0.12658</v>
      </c>
      <c r="W47" s="14">
        <v>1.7749699999999999</v>
      </c>
      <c r="X47" s="11">
        <v>174</v>
      </c>
      <c r="Y47" s="10">
        <v>43330</v>
      </c>
      <c r="Z47" s="11">
        <v>7892168416</v>
      </c>
      <c r="AA47" s="12" t="s">
        <v>49</v>
      </c>
      <c r="AB47" s="11" t="s">
        <v>42</v>
      </c>
      <c r="AC47" s="12" t="s">
        <v>43</v>
      </c>
      <c r="AD47" s="11" t="s">
        <v>44</v>
      </c>
      <c r="AE47" s="12" t="s">
        <v>45</v>
      </c>
      <c r="AF47" s="14">
        <v>1.9015500000000001E-2</v>
      </c>
      <c r="AG47" s="11" t="s">
        <v>46</v>
      </c>
    </row>
    <row r="48" spans="1:33" x14ac:dyDescent="0.2">
      <c r="A48" s="8">
        <v>4950</v>
      </c>
      <c r="B48" s="9" t="s">
        <v>166</v>
      </c>
      <c r="C48" s="10">
        <v>43330</v>
      </c>
      <c r="D48" s="11">
        <v>23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190</v>
      </c>
      <c r="J48" s="12" t="s">
        <v>191</v>
      </c>
      <c r="K48" s="13" t="s">
        <v>175</v>
      </c>
      <c r="L48" s="11" t="str">
        <f>"000098"</f>
        <v>000098</v>
      </c>
      <c r="M48" s="10">
        <v>42570</v>
      </c>
      <c r="N48" s="11" t="str">
        <f>"000123"</f>
        <v>000123</v>
      </c>
      <c r="O48" s="10">
        <v>42794</v>
      </c>
      <c r="P48" s="11" t="str">
        <f>"000536"</f>
        <v>000536</v>
      </c>
      <c r="Q48" s="10">
        <v>42825</v>
      </c>
      <c r="R48" s="11">
        <v>16</v>
      </c>
      <c r="S48" s="11" t="str">
        <f>"005201"</f>
        <v>005201</v>
      </c>
      <c r="T48" s="10">
        <v>43326</v>
      </c>
      <c r="U48" s="14">
        <v>1.9018999999999999</v>
      </c>
      <c r="V48" s="14">
        <v>0.12428</v>
      </c>
      <c r="W48" s="14">
        <v>1.77762</v>
      </c>
      <c r="X48" s="11">
        <v>174</v>
      </c>
      <c r="Y48" s="10">
        <v>43330</v>
      </c>
      <c r="Z48" s="11">
        <v>123456789</v>
      </c>
      <c r="AA48" s="12" t="s">
        <v>49</v>
      </c>
      <c r="AB48" s="11" t="s">
        <v>42</v>
      </c>
      <c r="AC48" s="12" t="s">
        <v>43</v>
      </c>
      <c r="AD48" s="11" t="s">
        <v>44</v>
      </c>
      <c r="AE48" s="12" t="s">
        <v>45</v>
      </c>
      <c r="AF48" s="14">
        <v>1.9018999999999998E-2</v>
      </c>
      <c r="AG48" s="11" t="s">
        <v>46</v>
      </c>
    </row>
    <row r="49" spans="1:33" x14ac:dyDescent="0.2">
      <c r="A49" s="8">
        <v>4951</v>
      </c>
      <c r="B49" s="9" t="s">
        <v>166</v>
      </c>
      <c r="C49" s="10">
        <v>43330</v>
      </c>
      <c r="D49" s="11">
        <v>23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192</v>
      </c>
      <c r="J49" s="12" t="s">
        <v>193</v>
      </c>
      <c r="K49" s="13" t="s">
        <v>175</v>
      </c>
      <c r="L49" s="11" t="str">
        <f>"000186"</f>
        <v>000186</v>
      </c>
      <c r="M49" s="10">
        <v>42779</v>
      </c>
      <c r="N49" s="11" t="str">
        <f>"000145"</f>
        <v>000145</v>
      </c>
      <c r="O49" s="10">
        <v>42824</v>
      </c>
      <c r="P49" s="11" t="str">
        <f>"000538"</f>
        <v>000538</v>
      </c>
      <c r="Q49" s="10">
        <v>42825</v>
      </c>
      <c r="R49" s="11">
        <v>17</v>
      </c>
      <c r="S49" s="11" t="str">
        <f>"005203"</f>
        <v>005203</v>
      </c>
      <c r="T49" s="10">
        <v>43326</v>
      </c>
      <c r="U49" s="14">
        <v>9.4624900000000007</v>
      </c>
      <c r="V49" s="14">
        <v>0.58399999999999996</v>
      </c>
      <c r="W49" s="14">
        <v>8.8784899999999993</v>
      </c>
      <c r="X49" s="11">
        <v>174</v>
      </c>
      <c r="Y49" s="10">
        <v>43330</v>
      </c>
      <c r="Z49" s="11">
        <v>9066226641</v>
      </c>
      <c r="AA49" s="12" t="s">
        <v>194</v>
      </c>
      <c r="AB49" s="11" t="s">
        <v>42</v>
      </c>
      <c r="AC49" s="12" t="s">
        <v>43</v>
      </c>
      <c r="AD49" s="11" t="s">
        <v>44</v>
      </c>
      <c r="AE49" s="12" t="s">
        <v>45</v>
      </c>
      <c r="AF49" s="14">
        <v>9.4624900000000012E-2</v>
      </c>
      <c r="AG49" s="11" t="s">
        <v>46</v>
      </c>
    </row>
    <row r="50" spans="1:33" x14ac:dyDescent="0.2">
      <c r="A50" s="8">
        <v>4952</v>
      </c>
      <c r="B50" s="9" t="s">
        <v>166</v>
      </c>
      <c r="C50" s="10">
        <v>43330</v>
      </c>
      <c r="D50" s="11">
        <v>23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195</v>
      </c>
      <c r="J50" s="12" t="s">
        <v>196</v>
      </c>
      <c r="K50" s="13" t="s">
        <v>84</v>
      </c>
      <c r="L50" s="11" t="str">
        <f>"000001"</f>
        <v>000001</v>
      </c>
      <c r="M50" s="10">
        <v>41702</v>
      </c>
      <c r="N50" s="11" t="str">
        <f>"000151"</f>
        <v>000151</v>
      </c>
      <c r="O50" s="10">
        <v>42824</v>
      </c>
      <c r="P50" s="11" t="str">
        <f>"000552"</f>
        <v>000552</v>
      </c>
      <c r="Q50" s="10">
        <v>42825</v>
      </c>
      <c r="R50" s="11">
        <v>14</v>
      </c>
      <c r="S50" s="11" t="str">
        <f>"005218"</f>
        <v>005218</v>
      </c>
      <c r="T50" s="10">
        <v>43326</v>
      </c>
      <c r="U50" s="14">
        <v>18.662320000000001</v>
      </c>
      <c r="V50" s="14">
        <v>1.47011</v>
      </c>
      <c r="W50" s="14">
        <v>17.192209999999999</v>
      </c>
      <c r="X50" s="11">
        <v>174</v>
      </c>
      <c r="Y50" s="10">
        <v>43330</v>
      </c>
      <c r="Z50" s="11">
        <v>123456789</v>
      </c>
      <c r="AA50" s="12" t="s">
        <v>197</v>
      </c>
      <c r="AB50" s="11" t="s">
        <v>42</v>
      </c>
      <c r="AC50" s="12" t="s">
        <v>43</v>
      </c>
      <c r="AD50" s="11" t="s">
        <v>44</v>
      </c>
      <c r="AE50" s="12" t="s">
        <v>45</v>
      </c>
      <c r="AF50" s="14">
        <v>0.18662320000000002</v>
      </c>
      <c r="AG50" s="11" t="s">
        <v>46</v>
      </c>
    </row>
    <row r="51" spans="1:33" x14ac:dyDescent="0.2">
      <c r="A51" s="8">
        <v>5187</v>
      </c>
      <c r="B51" s="9" t="s">
        <v>198</v>
      </c>
      <c r="C51" s="10">
        <v>43346</v>
      </c>
      <c r="D51" s="11">
        <v>23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199</v>
      </c>
      <c r="J51" s="12" t="s">
        <v>200</v>
      </c>
      <c r="K51" s="13" t="s">
        <v>84</v>
      </c>
      <c r="L51" s="11" t="str">
        <f>"000088"</f>
        <v>000088</v>
      </c>
      <c r="M51" s="10">
        <v>42431</v>
      </c>
      <c r="N51" s="11" t="str">
        <f>"000144"</f>
        <v>000144</v>
      </c>
      <c r="O51" s="10">
        <v>42824</v>
      </c>
      <c r="P51" s="11" t="str">
        <f>"000540"</f>
        <v>000540</v>
      </c>
      <c r="Q51" s="10">
        <v>42825</v>
      </c>
      <c r="R51" s="11">
        <v>16</v>
      </c>
      <c r="S51" s="11" t="str">
        <f>"005319"</f>
        <v>005319</v>
      </c>
      <c r="T51" s="10">
        <v>43333</v>
      </c>
      <c r="U51" s="14">
        <v>14.5732</v>
      </c>
      <c r="V51" s="14">
        <v>1.1112</v>
      </c>
      <c r="W51" s="14">
        <v>13.462</v>
      </c>
      <c r="X51" s="11">
        <v>193</v>
      </c>
      <c r="Y51" s="10">
        <v>43346</v>
      </c>
      <c r="Z51" s="11">
        <v>8310763139</v>
      </c>
      <c r="AA51" s="12" t="s">
        <v>136</v>
      </c>
      <c r="AB51" s="11" t="s">
        <v>42</v>
      </c>
      <c r="AC51" s="12" t="s">
        <v>43</v>
      </c>
      <c r="AD51" s="11" t="s">
        <v>44</v>
      </c>
      <c r="AE51" s="12" t="s">
        <v>45</v>
      </c>
      <c r="AF51" s="14">
        <f t="shared" ref="AF51:AF71" si="0">U51/100</f>
        <v>0.145732</v>
      </c>
      <c r="AG51" s="11" t="s">
        <v>46</v>
      </c>
    </row>
    <row r="52" spans="1:33" x14ac:dyDescent="0.2">
      <c r="A52" s="8">
        <v>5535</v>
      </c>
      <c r="B52" s="9" t="s">
        <v>198</v>
      </c>
      <c r="C52" s="10">
        <v>43362</v>
      </c>
      <c r="D52" s="11">
        <v>23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201</v>
      </c>
      <c r="J52" s="12" t="s">
        <v>202</v>
      </c>
      <c r="K52" s="13" t="s">
        <v>84</v>
      </c>
      <c r="L52" s="11" t="str">
        <f>"000063"</f>
        <v>000063</v>
      </c>
      <c r="M52" s="10">
        <v>42557</v>
      </c>
      <c r="N52" s="11" t="str">
        <f>"000150"</f>
        <v>000150</v>
      </c>
      <c r="O52" s="10">
        <v>42824</v>
      </c>
      <c r="P52" s="11" t="str">
        <f>"000551"</f>
        <v>000551</v>
      </c>
      <c r="Q52" s="10">
        <v>42825</v>
      </c>
      <c r="R52" s="11">
        <v>16</v>
      </c>
      <c r="S52" s="11" t="str">
        <f>"005597"</f>
        <v>005597</v>
      </c>
      <c r="T52" s="10">
        <v>43347</v>
      </c>
      <c r="U52" s="14">
        <v>8.7553199999999993</v>
      </c>
      <c r="V52" s="14">
        <v>0.66729000000000005</v>
      </c>
      <c r="W52" s="14">
        <v>8.0880299999999998</v>
      </c>
      <c r="X52" s="11">
        <v>207</v>
      </c>
      <c r="Y52" s="10">
        <v>43362</v>
      </c>
      <c r="Z52" s="11">
        <v>123456789</v>
      </c>
      <c r="AA52" s="12" t="s">
        <v>197</v>
      </c>
      <c r="AB52" s="11" t="s">
        <v>42</v>
      </c>
      <c r="AC52" s="12" t="s">
        <v>43</v>
      </c>
      <c r="AD52" s="11" t="s">
        <v>44</v>
      </c>
      <c r="AE52" s="12" t="s">
        <v>45</v>
      </c>
      <c r="AF52" s="14">
        <f t="shared" si="0"/>
        <v>8.7553199999999998E-2</v>
      </c>
      <c r="AG52" s="11" t="s">
        <v>46</v>
      </c>
    </row>
    <row r="53" spans="1:33" x14ac:dyDescent="0.2">
      <c r="A53" s="8">
        <v>5822</v>
      </c>
      <c r="B53" s="9" t="s">
        <v>203</v>
      </c>
      <c r="C53" s="10">
        <v>43379</v>
      </c>
      <c r="D53" s="11">
        <v>23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204</v>
      </c>
      <c r="J53" s="12" t="s">
        <v>205</v>
      </c>
      <c r="K53" s="13" t="s">
        <v>40</v>
      </c>
      <c r="L53" s="11" t="str">
        <f>"000112"</f>
        <v>000112</v>
      </c>
      <c r="M53" s="10">
        <v>43359</v>
      </c>
      <c r="N53" s="11" t="str">
        <f>"000108"</f>
        <v>000108</v>
      </c>
      <c r="O53" s="10">
        <v>43359</v>
      </c>
      <c r="P53" s="11" t="str">
        <f>"000196"</f>
        <v>000196</v>
      </c>
      <c r="Q53" s="10">
        <v>43360</v>
      </c>
      <c r="R53" s="11">
        <v>18</v>
      </c>
      <c r="S53" s="11" t="str">
        <f>"006122"</f>
        <v>006122</v>
      </c>
      <c r="T53" s="10">
        <v>43376</v>
      </c>
      <c r="U53" s="14">
        <v>108.52822</v>
      </c>
      <c r="V53" s="14">
        <v>11.0745</v>
      </c>
      <c r="W53" s="14">
        <v>97.453720000000004</v>
      </c>
      <c r="X53" s="11">
        <v>221</v>
      </c>
      <c r="Y53" s="10">
        <v>43379</v>
      </c>
      <c r="Z53" s="11">
        <v>123456789</v>
      </c>
      <c r="AA53" s="12" t="s">
        <v>206</v>
      </c>
      <c r="AB53" s="11" t="s">
        <v>86</v>
      </c>
      <c r="AC53" s="12" t="s">
        <v>87</v>
      </c>
      <c r="AD53" s="11" t="s">
        <v>44</v>
      </c>
      <c r="AE53" s="12" t="s">
        <v>45</v>
      </c>
      <c r="AF53" s="14">
        <f t="shared" si="0"/>
        <v>1.0852822</v>
      </c>
      <c r="AG53" s="11" t="s">
        <v>69</v>
      </c>
    </row>
    <row r="54" spans="1:33" x14ac:dyDescent="0.2">
      <c r="A54" s="8">
        <v>5823</v>
      </c>
      <c r="B54" s="9" t="s">
        <v>203</v>
      </c>
      <c r="C54" s="10">
        <v>43379</v>
      </c>
      <c r="D54" s="11">
        <v>23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204</v>
      </c>
      <c r="J54" s="12" t="s">
        <v>205</v>
      </c>
      <c r="K54" s="13" t="s">
        <v>40</v>
      </c>
      <c r="L54" s="11" t="str">
        <f>"000112"</f>
        <v>000112</v>
      </c>
      <c r="M54" s="10">
        <v>43359</v>
      </c>
      <c r="N54" s="11" t="str">
        <f>"000108"</f>
        <v>000108</v>
      </c>
      <c r="O54" s="10">
        <v>43359</v>
      </c>
      <c r="P54" s="11" t="str">
        <f>"000196"</f>
        <v>000196</v>
      </c>
      <c r="Q54" s="10">
        <v>43360</v>
      </c>
      <c r="R54" s="11">
        <v>18</v>
      </c>
      <c r="S54" s="11" t="str">
        <f>"006122"</f>
        <v>006122</v>
      </c>
      <c r="T54" s="10">
        <v>43376</v>
      </c>
      <c r="U54" s="14">
        <v>108.52822</v>
      </c>
      <c r="V54" s="14">
        <v>11.0745</v>
      </c>
      <c r="W54" s="14">
        <v>97.453720000000004</v>
      </c>
      <c r="X54" s="11">
        <v>221</v>
      </c>
      <c r="Y54" s="10">
        <v>43379</v>
      </c>
      <c r="Z54" s="11">
        <v>123456789</v>
      </c>
      <c r="AA54" s="12" t="s">
        <v>206</v>
      </c>
      <c r="AB54" s="11" t="s">
        <v>86</v>
      </c>
      <c r="AC54" s="12" t="s">
        <v>87</v>
      </c>
      <c r="AD54" s="11" t="s">
        <v>44</v>
      </c>
      <c r="AE54" s="12" t="s">
        <v>45</v>
      </c>
      <c r="AF54" s="14">
        <f t="shared" si="0"/>
        <v>1.0852822</v>
      </c>
      <c r="AG54" s="11" t="s">
        <v>69</v>
      </c>
    </row>
    <row r="55" spans="1:33" x14ac:dyDescent="0.2">
      <c r="A55" s="8">
        <v>5944</v>
      </c>
      <c r="B55" s="9" t="s">
        <v>203</v>
      </c>
      <c r="C55" s="10">
        <v>43385</v>
      </c>
      <c r="D55" s="11">
        <v>23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57</v>
      </c>
      <c r="J55" s="12" t="s">
        <v>58</v>
      </c>
      <c r="K55" s="13" t="s">
        <v>59</v>
      </c>
      <c r="L55" s="11" t="str">
        <f>"000204"</f>
        <v>000204</v>
      </c>
      <c r="M55" s="10">
        <v>43112</v>
      </c>
      <c r="N55" s="11" t="str">
        <f>"000076"</f>
        <v>000076</v>
      </c>
      <c r="O55" s="10">
        <v>43304</v>
      </c>
      <c r="P55" s="11" t="str">
        <f>"000128"</f>
        <v>000128</v>
      </c>
      <c r="Q55" s="10">
        <v>43304</v>
      </c>
      <c r="R55" s="11">
        <v>17</v>
      </c>
      <c r="S55" s="11" t="str">
        <f>"006315"</f>
        <v>006315</v>
      </c>
      <c r="T55" s="10">
        <v>43380</v>
      </c>
      <c r="U55" s="14">
        <v>119.79652</v>
      </c>
      <c r="V55" s="14">
        <v>5.3490000000000002</v>
      </c>
      <c r="W55" s="14">
        <v>114.44752</v>
      </c>
      <c r="X55" s="11">
        <v>232</v>
      </c>
      <c r="Y55" s="10">
        <v>43385</v>
      </c>
      <c r="Z55" s="11">
        <v>9036304747</v>
      </c>
      <c r="AA55" s="12" t="s">
        <v>60</v>
      </c>
      <c r="AB55" s="11" t="s">
        <v>61</v>
      </c>
      <c r="AC55" s="12" t="s">
        <v>62</v>
      </c>
      <c r="AD55" s="11" t="s">
        <v>44</v>
      </c>
      <c r="AE55" s="12" t="s">
        <v>45</v>
      </c>
      <c r="AF55" s="14">
        <f t="shared" si="0"/>
        <v>1.1979652000000001</v>
      </c>
      <c r="AG55" s="11" t="s">
        <v>63</v>
      </c>
    </row>
    <row r="56" spans="1:33" x14ac:dyDescent="0.2">
      <c r="A56" s="8">
        <v>5945</v>
      </c>
      <c r="B56" s="9" t="s">
        <v>203</v>
      </c>
      <c r="C56" s="10">
        <v>43385</v>
      </c>
      <c r="D56" s="11">
        <v>23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207</v>
      </c>
      <c r="J56" s="12" t="s">
        <v>208</v>
      </c>
      <c r="K56" s="13" t="s">
        <v>84</v>
      </c>
      <c r="L56" s="11" t="str">
        <f>"000029"</f>
        <v>000029</v>
      </c>
      <c r="M56" s="10">
        <v>42939</v>
      </c>
      <c r="N56" s="11" t="str">
        <f>"000024"</f>
        <v>000024</v>
      </c>
      <c r="O56" s="10">
        <v>42939</v>
      </c>
      <c r="P56" s="11" t="str">
        <f>"000025"</f>
        <v>000025</v>
      </c>
      <c r="Q56" s="10">
        <v>42939</v>
      </c>
      <c r="R56" s="11">
        <v>17</v>
      </c>
      <c r="S56" s="11" t="str">
        <f>"004271"</f>
        <v>004271</v>
      </c>
      <c r="T56" s="10">
        <v>42947</v>
      </c>
      <c r="U56" s="14">
        <v>5.25</v>
      </c>
      <c r="V56" s="14">
        <v>0.52500000000000002</v>
      </c>
      <c r="W56" s="14">
        <v>4.7249999999999996</v>
      </c>
      <c r="X56" s="11">
        <v>232</v>
      </c>
      <c r="Y56" s="10">
        <v>43385</v>
      </c>
      <c r="Z56" s="11">
        <v>123456789</v>
      </c>
      <c r="AA56" s="12" t="s">
        <v>209</v>
      </c>
      <c r="AB56" s="11" t="s">
        <v>61</v>
      </c>
      <c r="AC56" s="12" t="s">
        <v>62</v>
      </c>
      <c r="AD56" s="11" t="s">
        <v>44</v>
      </c>
      <c r="AE56" s="12" t="s">
        <v>45</v>
      </c>
      <c r="AF56" s="14">
        <f t="shared" si="0"/>
        <v>5.2499999999999998E-2</v>
      </c>
      <c r="AG56" s="11" t="s">
        <v>46</v>
      </c>
    </row>
    <row r="57" spans="1:33" x14ac:dyDescent="0.2">
      <c r="A57" s="8">
        <v>6732</v>
      </c>
      <c r="B57" s="9" t="s">
        <v>203</v>
      </c>
      <c r="C57" s="10">
        <v>43390</v>
      </c>
      <c r="D57" s="11">
        <v>23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210</v>
      </c>
      <c r="J57" s="12" t="s">
        <v>211</v>
      </c>
      <c r="K57" s="15" t="s">
        <v>175</v>
      </c>
      <c r="L57" s="11" t="str">
        <f>"000249"</f>
        <v>000249</v>
      </c>
      <c r="M57" s="10">
        <v>43140</v>
      </c>
      <c r="N57" s="11" t="str">
        <f>"000116"</f>
        <v>000116</v>
      </c>
      <c r="O57" s="10">
        <v>43373</v>
      </c>
      <c r="P57" s="11" t="str">
        <f>"000219"</f>
        <v>000219</v>
      </c>
      <c r="Q57" s="10">
        <v>43373</v>
      </c>
      <c r="R57" s="11">
        <v>18</v>
      </c>
      <c r="S57" s="11" t="str">
        <f>"006799"</f>
        <v>006799</v>
      </c>
      <c r="T57" s="10">
        <v>43389</v>
      </c>
      <c r="U57" s="14">
        <v>4.9971199999999998</v>
      </c>
      <c r="V57" s="14">
        <v>0.55989999999999995</v>
      </c>
      <c r="W57" s="14">
        <v>4.4372199999999999</v>
      </c>
      <c r="X57" s="11">
        <v>245</v>
      </c>
      <c r="Y57" s="10">
        <v>43390</v>
      </c>
      <c r="Z57" s="11">
        <v>123456789</v>
      </c>
      <c r="AA57" s="12" t="s">
        <v>97</v>
      </c>
      <c r="AB57" s="11" t="s">
        <v>212</v>
      </c>
      <c r="AC57" s="12" t="s">
        <v>213</v>
      </c>
      <c r="AD57" s="11" t="s">
        <v>44</v>
      </c>
      <c r="AE57" s="12" t="s">
        <v>45</v>
      </c>
      <c r="AF57" s="14">
        <f t="shared" si="0"/>
        <v>4.99712E-2</v>
      </c>
      <c r="AG57" s="11" t="s">
        <v>63</v>
      </c>
    </row>
    <row r="58" spans="1:33" x14ac:dyDescent="0.2">
      <c r="A58" s="8">
        <v>6889</v>
      </c>
      <c r="B58" s="9" t="s">
        <v>203</v>
      </c>
      <c r="C58" s="10">
        <v>43400</v>
      </c>
      <c r="D58" s="11">
        <v>23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214</v>
      </c>
      <c r="J58" s="12" t="s">
        <v>215</v>
      </c>
      <c r="K58" s="13" t="s">
        <v>216</v>
      </c>
      <c r="L58" s="11" t="str">
        <f>"000246"</f>
        <v>000246</v>
      </c>
      <c r="M58" s="10">
        <v>43140</v>
      </c>
      <c r="N58" s="11" t="str">
        <f>"000115"</f>
        <v>000115</v>
      </c>
      <c r="O58" s="10">
        <v>43373</v>
      </c>
      <c r="P58" s="11" t="str">
        <f>"000218"</f>
        <v>000218</v>
      </c>
      <c r="Q58" s="10">
        <v>43373</v>
      </c>
      <c r="R58" s="11">
        <v>18</v>
      </c>
      <c r="S58" s="11" t="str">
        <f>"006971"</f>
        <v>006971</v>
      </c>
      <c r="T58" s="10">
        <v>43399</v>
      </c>
      <c r="U58" s="14">
        <v>9.9950799999999997</v>
      </c>
      <c r="V58" s="14">
        <v>1.087</v>
      </c>
      <c r="W58" s="14">
        <v>8.90808</v>
      </c>
      <c r="X58" s="11">
        <v>251</v>
      </c>
      <c r="Y58" s="10">
        <v>43400</v>
      </c>
      <c r="Z58" s="11">
        <v>123456789</v>
      </c>
      <c r="AA58" s="12" t="s">
        <v>85</v>
      </c>
      <c r="AB58" s="11" t="s">
        <v>217</v>
      </c>
      <c r="AC58" s="12" t="s">
        <v>218</v>
      </c>
      <c r="AD58" s="11" t="s">
        <v>44</v>
      </c>
      <c r="AE58" s="12" t="s">
        <v>45</v>
      </c>
      <c r="AF58" s="14">
        <f t="shared" si="0"/>
        <v>9.9950799999999992E-2</v>
      </c>
      <c r="AG58" s="11" t="s">
        <v>63</v>
      </c>
    </row>
    <row r="59" spans="1:33" x14ac:dyDescent="0.2">
      <c r="A59" s="8">
        <v>7198</v>
      </c>
      <c r="B59" s="9" t="s">
        <v>219</v>
      </c>
      <c r="C59" s="10">
        <v>43420</v>
      </c>
      <c r="D59" s="11">
        <v>23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220</v>
      </c>
      <c r="J59" s="12" t="s">
        <v>221</v>
      </c>
      <c r="K59" s="13" t="s">
        <v>40</v>
      </c>
      <c r="L59" s="11" t="str">
        <f>"000133"</f>
        <v>000133</v>
      </c>
      <c r="M59" s="10">
        <v>42598</v>
      </c>
      <c r="N59" s="11" t="str">
        <f>"000085"</f>
        <v>000085</v>
      </c>
      <c r="O59" s="10">
        <v>42704</v>
      </c>
      <c r="P59" s="11" t="str">
        <f>"000340"</f>
        <v>000340</v>
      </c>
      <c r="Q59" s="10">
        <v>42732</v>
      </c>
      <c r="R59" s="11">
        <v>16</v>
      </c>
      <c r="S59" s="11" t="str">
        <f>"007238"</f>
        <v>007238</v>
      </c>
      <c r="T59" s="10">
        <v>43406</v>
      </c>
      <c r="U59" s="14">
        <v>9.6807099999999995</v>
      </c>
      <c r="V59" s="14">
        <v>0.745</v>
      </c>
      <c r="W59" s="14">
        <v>8.9357100000000003</v>
      </c>
      <c r="X59" s="11">
        <v>267</v>
      </c>
      <c r="Y59" s="10">
        <v>43420</v>
      </c>
      <c r="Z59" s="11">
        <v>123456789</v>
      </c>
      <c r="AA59" s="12" t="s">
        <v>148</v>
      </c>
      <c r="AB59" s="11" t="s">
        <v>42</v>
      </c>
      <c r="AC59" s="12" t="s">
        <v>43</v>
      </c>
      <c r="AD59" s="11" t="s">
        <v>44</v>
      </c>
      <c r="AE59" s="12" t="s">
        <v>45</v>
      </c>
      <c r="AF59" s="14">
        <f t="shared" si="0"/>
        <v>9.6807099999999993E-2</v>
      </c>
      <c r="AG59" s="11" t="s">
        <v>46</v>
      </c>
    </row>
    <row r="60" spans="1:33" x14ac:dyDescent="0.2">
      <c r="A60" s="8">
        <v>8423</v>
      </c>
      <c r="B60" s="9" t="s">
        <v>222</v>
      </c>
      <c r="C60" s="10">
        <v>43472</v>
      </c>
      <c r="D60" s="11">
        <v>23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223</v>
      </c>
      <c r="J60" s="12" t="s">
        <v>224</v>
      </c>
      <c r="K60" s="13" t="s">
        <v>225</v>
      </c>
      <c r="L60" s="11" t="str">
        <f>"000209"</f>
        <v>000209</v>
      </c>
      <c r="M60" s="10">
        <v>43409</v>
      </c>
      <c r="N60" s="11" t="str">
        <f>"000125"</f>
        <v>000125</v>
      </c>
      <c r="O60" s="10">
        <v>43434</v>
      </c>
      <c r="P60" s="11" t="str">
        <f>"000272"</f>
        <v>000272</v>
      </c>
      <c r="Q60" s="10">
        <v>43434</v>
      </c>
      <c r="R60" s="11"/>
      <c r="S60" s="11" t="str">
        <f>"008549"</f>
        <v>008549</v>
      </c>
      <c r="T60" s="10">
        <v>43469</v>
      </c>
      <c r="U60" s="14">
        <v>9.99634</v>
      </c>
      <c r="V60" s="14">
        <v>1.0096700000000001</v>
      </c>
      <c r="W60" s="14">
        <v>8.9866700000000002</v>
      </c>
      <c r="X60" s="11">
        <v>316</v>
      </c>
      <c r="Y60" s="10">
        <v>43472</v>
      </c>
      <c r="Z60" s="11">
        <v>123456789</v>
      </c>
      <c r="AA60" s="12" t="s">
        <v>226</v>
      </c>
      <c r="AB60" s="11" t="s">
        <v>50</v>
      </c>
      <c r="AC60" s="12" t="s">
        <v>51</v>
      </c>
      <c r="AD60" s="11" t="s">
        <v>44</v>
      </c>
      <c r="AE60" s="12" t="s">
        <v>45</v>
      </c>
      <c r="AF60" s="14">
        <f t="shared" si="0"/>
        <v>9.9963399999999994E-2</v>
      </c>
      <c r="AG60" s="11" t="s">
        <v>69</v>
      </c>
    </row>
    <row r="61" spans="1:33" x14ac:dyDescent="0.2">
      <c r="A61" s="8">
        <v>8728</v>
      </c>
      <c r="B61" s="9" t="s">
        <v>222</v>
      </c>
      <c r="C61" s="10">
        <v>43486</v>
      </c>
      <c r="D61" s="11">
        <v>23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227</v>
      </c>
      <c r="J61" s="12" t="s">
        <v>228</v>
      </c>
      <c r="K61" s="13" t="s">
        <v>59</v>
      </c>
      <c r="L61" s="11" t="str">
        <f>"000296"</f>
        <v>000296</v>
      </c>
      <c r="M61" s="10">
        <v>43467</v>
      </c>
      <c r="N61" s="11" t="str">
        <f>"000166"</f>
        <v>000166</v>
      </c>
      <c r="O61" s="10">
        <v>43467</v>
      </c>
      <c r="P61" s="11" t="str">
        <f>"000306"</f>
        <v>000306</v>
      </c>
      <c r="Q61" s="10">
        <v>43467</v>
      </c>
      <c r="R61" s="11"/>
      <c r="S61" s="11" t="str">
        <f>"008851"</f>
        <v>008851</v>
      </c>
      <c r="T61" s="10">
        <v>43484</v>
      </c>
      <c r="U61" s="14">
        <v>39.91142</v>
      </c>
      <c r="V61" s="14">
        <v>4.4684200000000001</v>
      </c>
      <c r="W61" s="14">
        <v>35.442999999999998</v>
      </c>
      <c r="X61" s="11">
        <v>331</v>
      </c>
      <c r="Y61" s="10">
        <v>43486</v>
      </c>
      <c r="Z61" s="11">
        <v>123456789</v>
      </c>
      <c r="AA61" s="12" t="s">
        <v>229</v>
      </c>
      <c r="AB61" s="11" t="s">
        <v>61</v>
      </c>
      <c r="AC61" s="12" t="s">
        <v>62</v>
      </c>
      <c r="AD61" s="11" t="s">
        <v>230</v>
      </c>
      <c r="AE61" s="12" t="s">
        <v>231</v>
      </c>
      <c r="AF61" s="14">
        <f t="shared" si="0"/>
        <v>0.39911419999999997</v>
      </c>
      <c r="AG61" s="11" t="s">
        <v>69</v>
      </c>
    </row>
    <row r="62" spans="1:33" x14ac:dyDescent="0.2">
      <c r="A62" s="8">
        <v>8746</v>
      </c>
      <c r="B62" s="9" t="s">
        <v>222</v>
      </c>
      <c r="C62" s="10">
        <v>43486</v>
      </c>
      <c r="D62" s="11">
        <v>23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232</v>
      </c>
      <c r="J62" s="12" t="s">
        <v>233</v>
      </c>
      <c r="K62" s="13" t="s">
        <v>84</v>
      </c>
      <c r="L62" s="11" t="str">
        <f>"000297"</f>
        <v>000297</v>
      </c>
      <c r="M62" s="10">
        <v>43468</v>
      </c>
      <c r="N62" s="11" t="str">
        <f>"000141"</f>
        <v>000141</v>
      </c>
      <c r="O62" s="10">
        <v>43468</v>
      </c>
      <c r="P62" s="11" t="str">
        <f>"000307"</f>
        <v>000307</v>
      </c>
      <c r="Q62" s="10">
        <v>43468</v>
      </c>
      <c r="R62" s="11"/>
      <c r="S62" s="11" t="str">
        <f>"008869"</f>
        <v>008869</v>
      </c>
      <c r="T62" s="10">
        <v>43484</v>
      </c>
      <c r="U62" s="14">
        <v>41.939360000000001</v>
      </c>
      <c r="V62" s="14">
        <v>4.6580599999999999</v>
      </c>
      <c r="W62" s="14">
        <v>37.281300000000002</v>
      </c>
      <c r="X62" s="11">
        <v>331</v>
      </c>
      <c r="Y62" s="10">
        <v>43486</v>
      </c>
      <c r="Z62" s="11">
        <v>123456789</v>
      </c>
      <c r="AA62" s="12" t="s">
        <v>234</v>
      </c>
      <c r="AB62" s="11" t="s">
        <v>61</v>
      </c>
      <c r="AC62" s="12" t="s">
        <v>62</v>
      </c>
      <c r="AD62" s="11" t="s">
        <v>44</v>
      </c>
      <c r="AE62" s="12" t="s">
        <v>45</v>
      </c>
      <c r="AF62" s="14">
        <f t="shared" si="0"/>
        <v>0.41939360000000003</v>
      </c>
      <c r="AG62" s="11" t="s">
        <v>69</v>
      </c>
    </row>
    <row r="63" spans="1:33" x14ac:dyDescent="0.2">
      <c r="A63" s="8">
        <v>8747</v>
      </c>
      <c r="B63" s="9" t="s">
        <v>222</v>
      </c>
      <c r="C63" s="10">
        <v>43486</v>
      </c>
      <c r="D63" s="11">
        <v>23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235</v>
      </c>
      <c r="J63" s="12" t="s">
        <v>236</v>
      </c>
      <c r="K63" s="13" t="s">
        <v>59</v>
      </c>
      <c r="L63" s="11" t="str">
        <f>"000298"</f>
        <v>000298</v>
      </c>
      <c r="M63" s="10">
        <v>43468</v>
      </c>
      <c r="N63" s="11" t="str">
        <f>"000142"</f>
        <v>000142</v>
      </c>
      <c r="O63" s="10">
        <v>43468</v>
      </c>
      <c r="P63" s="11" t="str">
        <f>"000308"</f>
        <v>000308</v>
      </c>
      <c r="Q63" s="10">
        <v>43468</v>
      </c>
      <c r="R63" s="11"/>
      <c r="S63" s="11" t="str">
        <f>"008870"</f>
        <v>008870</v>
      </c>
      <c r="T63" s="10">
        <v>43484</v>
      </c>
      <c r="U63" s="14">
        <v>39.96461</v>
      </c>
      <c r="V63" s="14">
        <v>4.5643799999999999</v>
      </c>
      <c r="W63" s="14">
        <v>35.400230000000001</v>
      </c>
      <c r="X63" s="11">
        <v>331</v>
      </c>
      <c r="Y63" s="10">
        <v>43486</v>
      </c>
      <c r="Z63" s="11">
        <v>123456789</v>
      </c>
      <c r="AA63" s="12" t="s">
        <v>234</v>
      </c>
      <c r="AB63" s="11" t="s">
        <v>61</v>
      </c>
      <c r="AC63" s="12" t="s">
        <v>62</v>
      </c>
      <c r="AD63" s="11" t="s">
        <v>44</v>
      </c>
      <c r="AE63" s="12" t="s">
        <v>45</v>
      </c>
      <c r="AF63" s="14">
        <f t="shared" si="0"/>
        <v>0.3996461</v>
      </c>
      <c r="AG63" s="11" t="s">
        <v>69</v>
      </c>
    </row>
    <row r="64" spans="1:33" x14ac:dyDescent="0.2">
      <c r="A64" s="8">
        <v>8749</v>
      </c>
      <c r="B64" s="9" t="s">
        <v>222</v>
      </c>
      <c r="C64" s="10">
        <v>43486</v>
      </c>
      <c r="D64" s="11">
        <v>23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237</v>
      </c>
      <c r="J64" s="12" t="s">
        <v>238</v>
      </c>
      <c r="K64" s="13" t="s">
        <v>84</v>
      </c>
      <c r="L64" s="11" t="str">
        <f>"000299"</f>
        <v>000299</v>
      </c>
      <c r="M64" s="10">
        <v>43468</v>
      </c>
      <c r="N64" s="11" t="str">
        <f>"000144"</f>
        <v>000144</v>
      </c>
      <c r="O64" s="10">
        <v>43468</v>
      </c>
      <c r="P64" s="11" t="str">
        <f>"000310"</f>
        <v>000310</v>
      </c>
      <c r="Q64" s="10">
        <v>43468</v>
      </c>
      <c r="R64" s="11"/>
      <c r="S64" s="11" t="str">
        <f>"008872"</f>
        <v>008872</v>
      </c>
      <c r="T64" s="10">
        <v>43484</v>
      </c>
      <c r="U64" s="14">
        <v>34.94285</v>
      </c>
      <c r="V64" s="14">
        <v>3.9983599999999999</v>
      </c>
      <c r="W64" s="14">
        <v>30.944489999999998</v>
      </c>
      <c r="X64" s="11">
        <v>331</v>
      </c>
      <c r="Y64" s="10">
        <v>43486</v>
      </c>
      <c r="Z64" s="11">
        <v>123456789</v>
      </c>
      <c r="AA64" s="12" t="s">
        <v>239</v>
      </c>
      <c r="AB64" s="11" t="s">
        <v>61</v>
      </c>
      <c r="AC64" s="12" t="s">
        <v>62</v>
      </c>
      <c r="AD64" s="11" t="s">
        <v>44</v>
      </c>
      <c r="AE64" s="12" t="s">
        <v>45</v>
      </c>
      <c r="AF64" s="14">
        <f t="shared" si="0"/>
        <v>0.34942849999999998</v>
      </c>
      <c r="AG64" s="11" t="s">
        <v>69</v>
      </c>
    </row>
    <row r="65" spans="1:33" x14ac:dyDescent="0.2">
      <c r="A65" s="8">
        <v>8750</v>
      </c>
      <c r="B65" s="9" t="s">
        <v>222</v>
      </c>
      <c r="C65" s="10">
        <v>43486</v>
      </c>
      <c r="D65" s="11">
        <v>23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240</v>
      </c>
      <c r="J65" s="12" t="s">
        <v>241</v>
      </c>
      <c r="K65" s="13" t="s">
        <v>84</v>
      </c>
      <c r="L65" s="11" t="str">
        <f>"000300"</f>
        <v>000300</v>
      </c>
      <c r="M65" s="10">
        <v>43468</v>
      </c>
      <c r="N65" s="11" t="str">
        <f>"000145"</f>
        <v>000145</v>
      </c>
      <c r="O65" s="10">
        <v>43468</v>
      </c>
      <c r="P65" s="11" t="str">
        <f>"000311"</f>
        <v>000311</v>
      </c>
      <c r="Q65" s="10">
        <v>43468</v>
      </c>
      <c r="R65" s="11"/>
      <c r="S65" s="11" t="str">
        <f>"008873"</f>
        <v>008873</v>
      </c>
      <c r="T65" s="10">
        <v>43484</v>
      </c>
      <c r="U65" s="14">
        <v>39.968409999999999</v>
      </c>
      <c r="V65" s="14">
        <v>4.6951499999999999</v>
      </c>
      <c r="W65" s="14">
        <v>35.273260000000001</v>
      </c>
      <c r="X65" s="11">
        <v>331</v>
      </c>
      <c r="Y65" s="10">
        <v>43486</v>
      </c>
      <c r="Z65" s="11">
        <v>123456789</v>
      </c>
      <c r="AA65" s="12" t="s">
        <v>234</v>
      </c>
      <c r="AB65" s="11" t="s">
        <v>61</v>
      </c>
      <c r="AC65" s="12" t="s">
        <v>62</v>
      </c>
      <c r="AD65" s="11" t="s">
        <v>44</v>
      </c>
      <c r="AE65" s="12" t="s">
        <v>45</v>
      </c>
      <c r="AF65" s="14">
        <f t="shared" si="0"/>
        <v>0.39968409999999999</v>
      </c>
      <c r="AG65" s="11" t="s">
        <v>69</v>
      </c>
    </row>
    <row r="66" spans="1:33" x14ac:dyDescent="0.2">
      <c r="A66" s="8">
        <v>8752</v>
      </c>
      <c r="B66" s="9" t="s">
        <v>222</v>
      </c>
      <c r="C66" s="10">
        <v>43486</v>
      </c>
      <c r="D66" s="11">
        <v>23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242</v>
      </c>
      <c r="J66" s="12" t="s">
        <v>243</v>
      </c>
      <c r="K66" s="13" t="s">
        <v>84</v>
      </c>
      <c r="L66" s="11" t="str">
        <f>"000303"</f>
        <v>000303</v>
      </c>
      <c r="M66" s="10">
        <v>43468</v>
      </c>
      <c r="N66" s="11" t="str">
        <f>"000147"</f>
        <v>000147</v>
      </c>
      <c r="O66" s="10">
        <v>43468</v>
      </c>
      <c r="P66" s="11" t="str">
        <f>"000314"</f>
        <v>000314</v>
      </c>
      <c r="Q66" s="10">
        <v>43468</v>
      </c>
      <c r="R66" s="11"/>
      <c r="S66" s="11" t="str">
        <f>"008875"</f>
        <v>008875</v>
      </c>
      <c r="T66" s="10">
        <v>43484</v>
      </c>
      <c r="U66" s="14">
        <v>39.953960000000002</v>
      </c>
      <c r="V66" s="14">
        <v>4.4953599999999998</v>
      </c>
      <c r="W66" s="14">
        <v>35.458599999999997</v>
      </c>
      <c r="X66" s="11">
        <v>331</v>
      </c>
      <c r="Y66" s="10">
        <v>43486</v>
      </c>
      <c r="Z66" s="11">
        <v>123456789</v>
      </c>
      <c r="AA66" s="12" t="s">
        <v>234</v>
      </c>
      <c r="AB66" s="11" t="s">
        <v>61</v>
      </c>
      <c r="AC66" s="12" t="s">
        <v>62</v>
      </c>
      <c r="AD66" s="11" t="s">
        <v>44</v>
      </c>
      <c r="AE66" s="12" t="s">
        <v>45</v>
      </c>
      <c r="AF66" s="14">
        <f t="shared" si="0"/>
        <v>0.39953959999999999</v>
      </c>
      <c r="AG66" s="11" t="s">
        <v>69</v>
      </c>
    </row>
    <row r="67" spans="1:33" x14ac:dyDescent="0.2">
      <c r="A67" s="8">
        <v>8753</v>
      </c>
      <c r="B67" s="9" t="s">
        <v>222</v>
      </c>
      <c r="C67" s="10">
        <v>43486</v>
      </c>
      <c r="D67" s="11">
        <v>23</v>
      </c>
      <c r="E67" s="12" t="s">
        <v>34</v>
      </c>
      <c r="F67" s="12" t="s">
        <v>35</v>
      </c>
      <c r="G67" s="12" t="s">
        <v>36</v>
      </c>
      <c r="H67" s="12" t="s">
        <v>37</v>
      </c>
      <c r="I67" s="11" t="s">
        <v>244</v>
      </c>
      <c r="J67" s="12" t="s">
        <v>245</v>
      </c>
      <c r="K67" s="13" t="s">
        <v>84</v>
      </c>
      <c r="L67" s="11" t="str">
        <f>"000304"</f>
        <v>000304</v>
      </c>
      <c r="M67" s="10">
        <v>43468</v>
      </c>
      <c r="N67" s="11" t="str">
        <f>"000148"</f>
        <v>000148</v>
      </c>
      <c r="O67" s="10">
        <v>43468</v>
      </c>
      <c r="P67" s="11" t="str">
        <f>"000315"</f>
        <v>000315</v>
      </c>
      <c r="Q67" s="10">
        <v>43468</v>
      </c>
      <c r="R67" s="11"/>
      <c r="S67" s="11" t="str">
        <f>"008876"</f>
        <v>008876</v>
      </c>
      <c r="T67" s="10">
        <v>43484</v>
      </c>
      <c r="U67" s="14">
        <v>47.960270000000001</v>
      </c>
      <c r="V67" s="14">
        <v>5.5642199999999997</v>
      </c>
      <c r="W67" s="14">
        <v>42.396050000000002</v>
      </c>
      <c r="X67" s="11">
        <v>331</v>
      </c>
      <c r="Y67" s="10">
        <v>43486</v>
      </c>
      <c r="Z67" s="11">
        <v>123456789</v>
      </c>
      <c r="AA67" s="12" t="s">
        <v>234</v>
      </c>
      <c r="AB67" s="11" t="s">
        <v>61</v>
      </c>
      <c r="AC67" s="12" t="s">
        <v>62</v>
      </c>
      <c r="AD67" s="11" t="s">
        <v>44</v>
      </c>
      <c r="AE67" s="12" t="s">
        <v>45</v>
      </c>
      <c r="AF67" s="14">
        <f t="shared" si="0"/>
        <v>0.47960269999999999</v>
      </c>
      <c r="AG67" s="11" t="s">
        <v>69</v>
      </c>
    </row>
    <row r="68" spans="1:33" x14ac:dyDescent="0.2">
      <c r="A68" s="8">
        <v>8757</v>
      </c>
      <c r="B68" s="9" t="s">
        <v>222</v>
      </c>
      <c r="C68" s="10">
        <v>43486</v>
      </c>
      <c r="D68" s="11">
        <v>23</v>
      </c>
      <c r="E68" s="12" t="s">
        <v>34</v>
      </c>
      <c r="F68" s="12" t="s">
        <v>35</v>
      </c>
      <c r="G68" s="12" t="s">
        <v>36</v>
      </c>
      <c r="H68" s="12" t="s">
        <v>37</v>
      </c>
      <c r="I68" s="11" t="s">
        <v>246</v>
      </c>
      <c r="J68" s="12" t="s">
        <v>247</v>
      </c>
      <c r="K68" s="13" t="s">
        <v>59</v>
      </c>
      <c r="L68" s="11" t="str">
        <f>"000295"</f>
        <v>000295</v>
      </c>
      <c r="M68" s="10">
        <v>43467</v>
      </c>
      <c r="N68" s="11" t="str">
        <f>"000140"</f>
        <v>000140</v>
      </c>
      <c r="O68" s="10">
        <v>43467</v>
      </c>
      <c r="P68" s="11" t="str">
        <f>"000305"</f>
        <v>000305</v>
      </c>
      <c r="Q68" s="10">
        <v>43467</v>
      </c>
      <c r="R68" s="11"/>
      <c r="S68" s="11" t="str">
        <f>"008880"</f>
        <v>008880</v>
      </c>
      <c r="T68" s="10">
        <v>43484</v>
      </c>
      <c r="U68" s="14">
        <v>34.983260000000001</v>
      </c>
      <c r="V68" s="14">
        <v>4.0579799999999997</v>
      </c>
      <c r="W68" s="14">
        <v>30.925280000000001</v>
      </c>
      <c r="X68" s="11">
        <v>331</v>
      </c>
      <c r="Y68" s="10">
        <v>43486</v>
      </c>
      <c r="Z68" s="11">
        <v>123456789</v>
      </c>
      <c r="AA68" s="12" t="s">
        <v>234</v>
      </c>
      <c r="AB68" s="11" t="s">
        <v>61</v>
      </c>
      <c r="AC68" s="12" t="s">
        <v>62</v>
      </c>
      <c r="AD68" s="11" t="s">
        <v>44</v>
      </c>
      <c r="AE68" s="12" t="s">
        <v>45</v>
      </c>
      <c r="AF68" s="14">
        <f t="shared" si="0"/>
        <v>0.34983259999999999</v>
      </c>
      <c r="AG68" s="11" t="s">
        <v>69</v>
      </c>
    </row>
    <row r="69" spans="1:33" x14ac:dyDescent="0.2">
      <c r="A69" s="8">
        <v>8825</v>
      </c>
      <c r="B69" s="9" t="s">
        <v>222</v>
      </c>
      <c r="C69" s="10">
        <v>43494</v>
      </c>
      <c r="D69" s="11">
        <v>23</v>
      </c>
      <c r="E69" s="12" t="s">
        <v>34</v>
      </c>
      <c r="F69" s="12" t="s">
        <v>35</v>
      </c>
      <c r="G69" s="12" t="s">
        <v>36</v>
      </c>
      <c r="H69" s="12" t="s">
        <v>37</v>
      </c>
      <c r="I69" s="11" t="s">
        <v>248</v>
      </c>
      <c r="J69" s="12" t="s">
        <v>249</v>
      </c>
      <c r="K69" s="13" t="s">
        <v>84</v>
      </c>
      <c r="L69" s="11" t="str">
        <f>"000301"</f>
        <v>000301</v>
      </c>
      <c r="M69" s="10">
        <v>43468</v>
      </c>
      <c r="N69" s="11" t="str">
        <f>"000146"</f>
        <v>000146</v>
      </c>
      <c r="O69" s="10">
        <v>43468</v>
      </c>
      <c r="P69" s="11" t="str">
        <f>"000312"</f>
        <v>000312</v>
      </c>
      <c r="Q69" s="10">
        <v>43468</v>
      </c>
      <c r="R69" s="11"/>
      <c r="S69" s="11" t="str">
        <f>"009011"</f>
        <v>009011</v>
      </c>
      <c r="T69" s="10">
        <v>43490</v>
      </c>
      <c r="U69" s="14">
        <v>44.968429999999998</v>
      </c>
      <c r="V69" s="14">
        <v>5.1296499999999998</v>
      </c>
      <c r="W69" s="14">
        <v>39.83878</v>
      </c>
      <c r="X69" s="11">
        <v>335</v>
      </c>
      <c r="Y69" s="10">
        <v>43494</v>
      </c>
      <c r="Z69" s="11">
        <v>123456789</v>
      </c>
      <c r="AA69" s="12" t="s">
        <v>250</v>
      </c>
      <c r="AB69" s="11" t="s">
        <v>61</v>
      </c>
      <c r="AC69" s="12" t="s">
        <v>62</v>
      </c>
      <c r="AD69" s="11" t="s">
        <v>44</v>
      </c>
      <c r="AE69" s="12" t="s">
        <v>45</v>
      </c>
      <c r="AF69" s="14">
        <f t="shared" si="0"/>
        <v>0.44968429999999998</v>
      </c>
      <c r="AG69" s="11" t="s">
        <v>69</v>
      </c>
    </row>
    <row r="70" spans="1:33" x14ac:dyDescent="0.2">
      <c r="A70" s="8">
        <v>9080</v>
      </c>
      <c r="B70" s="9" t="s">
        <v>251</v>
      </c>
      <c r="C70" s="10">
        <v>43507</v>
      </c>
      <c r="D70" s="11">
        <v>23</v>
      </c>
      <c r="E70" s="12" t="s">
        <v>34</v>
      </c>
      <c r="F70" s="12" t="s">
        <v>35</v>
      </c>
      <c r="G70" s="12" t="s">
        <v>36</v>
      </c>
      <c r="H70" s="12" t="s">
        <v>37</v>
      </c>
      <c r="I70" s="11" t="s">
        <v>252</v>
      </c>
      <c r="J70" s="12" t="s">
        <v>253</v>
      </c>
      <c r="K70" s="13" t="s">
        <v>254</v>
      </c>
      <c r="L70" s="11" t="str">
        <f>"000008"</f>
        <v>000008</v>
      </c>
      <c r="M70" s="10">
        <v>42994</v>
      </c>
      <c r="N70" s="11" t="str">
        <f>"000009"</f>
        <v>000009</v>
      </c>
      <c r="O70" s="10">
        <v>43077</v>
      </c>
      <c r="P70" s="11" t="str">
        <f>"000009"</f>
        <v>000009</v>
      </c>
      <c r="Q70" s="10">
        <v>43080</v>
      </c>
      <c r="R70" s="11"/>
      <c r="S70" s="11" t="str">
        <f>"008986"</f>
        <v>008986</v>
      </c>
      <c r="T70" s="10">
        <v>43490</v>
      </c>
      <c r="U70" s="14">
        <v>49.993780000000001</v>
      </c>
      <c r="V70" s="14">
        <v>5.1262499999999998</v>
      </c>
      <c r="W70" s="14">
        <v>44.867530000000002</v>
      </c>
      <c r="X70" s="11">
        <v>347</v>
      </c>
      <c r="Y70" s="10">
        <v>43507</v>
      </c>
      <c r="Z70" s="11">
        <v>822975815</v>
      </c>
      <c r="AA70" s="12" t="s">
        <v>255</v>
      </c>
      <c r="AB70" s="11" t="s">
        <v>256</v>
      </c>
      <c r="AC70" s="12" t="s">
        <v>257</v>
      </c>
      <c r="AD70" s="11" t="s">
        <v>258</v>
      </c>
      <c r="AE70" s="12" t="s">
        <v>259</v>
      </c>
      <c r="AF70" s="14">
        <f t="shared" si="0"/>
        <v>0.49993779999999999</v>
      </c>
      <c r="AG70" s="11" t="s">
        <v>46</v>
      </c>
    </row>
    <row r="71" spans="1:33" x14ac:dyDescent="0.2">
      <c r="A71" s="8">
        <v>9429</v>
      </c>
      <c r="B71" s="9" t="s">
        <v>260</v>
      </c>
      <c r="C71" s="10">
        <v>43526</v>
      </c>
      <c r="D71" s="11">
        <v>23</v>
      </c>
      <c r="E71" s="12" t="s">
        <v>34</v>
      </c>
      <c r="F71" s="12" t="s">
        <v>35</v>
      </c>
      <c r="G71" s="12" t="s">
        <v>36</v>
      </c>
      <c r="H71" s="12" t="s">
        <v>37</v>
      </c>
      <c r="I71" s="11" t="s">
        <v>261</v>
      </c>
      <c r="J71" s="12" t="s">
        <v>262</v>
      </c>
      <c r="K71" s="13" t="s">
        <v>263</v>
      </c>
      <c r="L71" s="11" t="str">
        <f>"000308"</f>
        <v>000308</v>
      </c>
      <c r="M71" s="10">
        <v>43469</v>
      </c>
      <c r="N71" s="11" t="str">
        <f>"000150"</f>
        <v>000150</v>
      </c>
      <c r="O71" s="10">
        <v>43469</v>
      </c>
      <c r="P71" s="11" t="str">
        <f>"000317"</f>
        <v>000317</v>
      </c>
      <c r="Q71" s="10">
        <v>43469</v>
      </c>
      <c r="R71" s="11"/>
      <c r="S71" s="11" t="str">
        <f>"009212"</f>
        <v>009212</v>
      </c>
      <c r="T71" s="10">
        <v>43508</v>
      </c>
      <c r="U71" s="14">
        <v>24.980180000000001</v>
      </c>
      <c r="V71" s="14">
        <v>2.8507099999999999</v>
      </c>
      <c r="W71" s="14">
        <v>22.129470000000001</v>
      </c>
      <c r="X71" s="11">
        <v>364</v>
      </c>
      <c r="Y71" s="10">
        <v>43526</v>
      </c>
      <c r="Z71" s="11">
        <v>123456789</v>
      </c>
      <c r="AA71" s="12" t="s">
        <v>234</v>
      </c>
      <c r="AB71" s="11" t="s">
        <v>264</v>
      </c>
      <c r="AC71" s="12" t="s">
        <v>265</v>
      </c>
      <c r="AD71" s="11" t="s">
        <v>44</v>
      </c>
      <c r="AE71" s="12" t="s">
        <v>45</v>
      </c>
      <c r="AF71" s="14">
        <f t="shared" si="0"/>
        <v>0.24980180000000002</v>
      </c>
      <c r="AG71" s="11" t="s">
        <v>69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2019-06-12T11:01:21Z</dcterms:modified>
</cp:coreProperties>
</file>