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2" i="1" l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<sst xmlns="http://schemas.openxmlformats.org/spreadsheetml/2006/main" count="754" uniqueCount="235">
  <si>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</si>
  <si>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</si>
  <si>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</si>
  <si>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</si>
  <si>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</si>
  <si>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</si>
  <si>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</si>
  <si>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</si>
  <si>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</si>
  <si>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</si>
  <si>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</si>
  <si>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</si>
  <si>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</si>
  <si>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</si>
  <si>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</si>
  <si>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</si>
  <si>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</si>
  <si>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</si>
  <si>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</si>
  <si>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</si>
  <si>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</si>
  <si>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</si>
  <si>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</si>
  <si>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</si>
  <si>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</si>
  <si>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</si>
  <si>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</si>
  <si>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</si>
  <si>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</si>
  <si>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</si>
  <si>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</si>
  <si>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</si>
  <si>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</si>
  <si>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</si>
  <si>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Banasavadi</t>
  </si>
  <si>
    <t>Maruthi Seva Nagara</t>
  </si>
  <si>
    <t>Sarvagna Nagara</t>
  </si>
  <si>
    <t>East</t>
  </si>
  <si>
    <t>027-16-000025</t>
  </si>
  <si>
    <t>Improvements of drain at HRBR 2nd Block park roads Muniswamappa Layout in ward no 27</t>
  </si>
  <si>
    <t>Footpaths &amp; Walkability</t>
  </si>
  <si>
    <t>The Technical Manager -01  KRIDL</t>
  </si>
  <si>
    <t>P2415</t>
  </si>
  <si>
    <t>Reserve fund for TandF Committee</t>
  </si>
  <si>
    <t>ddo081</t>
  </si>
  <si>
    <t xml:space="preserve"> Assistant Executive Engineer Maruthysena Nagar East Zone</t>
  </si>
  <si>
    <t>Pending</t>
  </si>
  <si>
    <t>May</t>
  </si>
  <si>
    <t>027-17-000005</t>
  </si>
  <si>
    <t>Providing elders gym and other works at 1st block Kalyannagra in ward no 27 Banasawadi</t>
  </si>
  <si>
    <t>Other Ward Works</t>
  </si>
  <si>
    <t>16-</t>
  </si>
  <si>
    <t>Technical Manager 2</t>
  </si>
  <si>
    <t>P3164</t>
  </si>
  <si>
    <t>Development of parks with Open Gym equipments at ward No.27</t>
  </si>
  <si>
    <t>ddo075</t>
  </si>
  <si>
    <t xml:space="preserve"> Executive Engineer Project East Zone</t>
  </si>
  <si>
    <t>027-17-000007</t>
  </si>
  <si>
    <t>Providing children equipments, sand spreading to CP area and other works at Dr. Rajkumar park, Kalyannagar in ward no 27 Banasawadi</t>
  </si>
  <si>
    <t>027-17-000006</t>
  </si>
  <si>
    <t>Providing gym equipments and other works at 2nd block Kalyannagra in ward no 27 Banasawadi</t>
  </si>
  <si>
    <t>Tecnnical Manager 2</t>
  </si>
  <si>
    <t>027-17-000008</t>
  </si>
  <si>
    <t>Providing children equipments and other works at 2nd block Kalyannagra in ward no 27 Banasawadi</t>
  </si>
  <si>
    <t>027-17-000009</t>
  </si>
  <si>
    <t>Providing children equipments and other works at 1st block Kalyannagra in ward no 27 Banasawadi</t>
  </si>
  <si>
    <t xml:space="preserve">Technical Manager 2 </t>
  </si>
  <si>
    <t>027-18-000009</t>
  </si>
  <si>
    <t>Improvements to Road and Drains at Ashwathappa PNS Layout in Ward No.27</t>
  </si>
  <si>
    <t>Roads &amp; Drivablility</t>
  </si>
  <si>
    <t>TECHNICAL MANAGER KRIDL O</t>
  </si>
  <si>
    <t>P3111</t>
  </si>
  <si>
    <t>State Finance Commission Untied Grant Works</t>
  </si>
  <si>
    <t>Spill Over</t>
  </si>
  <si>
    <t>027-18-000001</t>
  </si>
  <si>
    <t>Providing Yoga shelter at Dr. Rajkumar park ward no 27 Banasavadi</t>
  </si>
  <si>
    <t>Trees, Parks &amp; Playgrounds</t>
  </si>
  <si>
    <t xml:space="preserve">M/s KRIDL </t>
  </si>
  <si>
    <t>027-16-000035</t>
  </si>
  <si>
    <t>Providing LED Park lightings to Rajakumar park in Banasawadi Ward no 27</t>
  </si>
  <si>
    <t>M/s.KRIDL</t>
  </si>
  <si>
    <t>P1519</t>
  </si>
  <si>
    <t>Rain Water Harvesting and Ground water recharging - Nurseries</t>
  </si>
  <si>
    <t>ddo089</t>
  </si>
  <si>
    <t xml:space="preserve"> Assistant Executive Engineer Electrical East Zone</t>
  </si>
  <si>
    <t>June</t>
  </si>
  <si>
    <t>027-16-000003</t>
  </si>
  <si>
    <t>IMPROVEMENTS TO ROADS AT MUNISWAMAPPA REDDY LAYOUT AND CHAIRMEN LAYOUT IN WARD NO.27, BANASWADI.</t>
  </si>
  <si>
    <t>P.Aravind,</t>
  </si>
  <si>
    <t>P1771</t>
  </si>
  <si>
    <t>Zone Works - POW Works</t>
  </si>
  <si>
    <t>027-15-000016</t>
  </si>
  <si>
    <t>Improvements to road to Shaneshwara Temple and Gangamma temple roads at PNS Layout in ward no 27 Banasawadi</t>
  </si>
  <si>
    <t>P3055</t>
  </si>
  <si>
    <t>Development works in ward no 195,128,179,180,138,27,190,133,4,32,69,8,172,103,10 (Rs. 300.00 Lakhs/ward)</t>
  </si>
  <si>
    <t>027-17-000012</t>
  </si>
  <si>
    <t>Providing Children play equipments in Bhuvanagiri park ward no 27</t>
  </si>
  <si>
    <t>TECHNICAL MANGER -</t>
  </si>
  <si>
    <t>027-17-000010</t>
  </si>
  <si>
    <t>Improvements of parks in ward no 27</t>
  </si>
  <si>
    <t>027-16-000026</t>
  </si>
  <si>
    <t>Providing CC to roads at PNS Layout and HRBR 2nd Block in ward no 27</t>
  </si>
  <si>
    <t>The Technical Manager-01(KRIDL)</t>
  </si>
  <si>
    <t>027-16-000021</t>
  </si>
  <si>
    <t>Improvements to drain at 1st and 2nd cross road Muniswamappa Layout in ward no 27</t>
  </si>
  <si>
    <t>The Technical Manager-01 (KRIDL)</t>
  </si>
  <si>
    <t>027-16-000028</t>
  </si>
  <si>
    <t>Improvements of drain at 1st cross PNS Layout in ward no 27</t>
  </si>
  <si>
    <t>M/s KRIDL</t>
  </si>
  <si>
    <t>July</t>
  </si>
  <si>
    <t>027-18-000011</t>
  </si>
  <si>
    <t>Improvements to Road and Drains at 1st and 2nd Cross Subbaiahna Palya Near Panchmukhi Temple in Ward No.27</t>
  </si>
  <si>
    <t xml:space="preserve">TECHNICAL MANAGER KRIDL </t>
  </si>
  <si>
    <t>027-18-000034</t>
  </si>
  <si>
    <t>IMPROVEMENTS TO DRIN AND ROADS AT OLD AK COLONY DODDA BANASAWADI IN WARD NO 27</t>
  </si>
  <si>
    <t>The Technical Manager-01, KRIDL,</t>
  </si>
  <si>
    <t>P1878</t>
  </si>
  <si>
    <t>18per - Works (Bhagyajyothi, Sooru / Neeru Yojane and General) (54 Lakhs / New Wards)</t>
  </si>
  <si>
    <t>Current</t>
  </si>
  <si>
    <t>314-12-000014</t>
  </si>
  <si>
    <t>Annual Street light maintenance at ward no 27 and 59 Package-E14</t>
  </si>
  <si>
    <t>NEWTECH ENGINEERS</t>
  </si>
  <si>
    <t>P0300</t>
  </si>
  <si>
    <t>M and R to Street Lights - Replacement of Burnt Bulbs etc. (Package)</t>
  </si>
  <si>
    <t>027-16-000001</t>
  </si>
  <si>
    <t>Operation and Maintenance of street lights at Banasawadi area ward no. 27 Package E18 for one year.</t>
  </si>
  <si>
    <t>M/s Rainbow Electricals</t>
  </si>
  <si>
    <t>027-17-000011</t>
  </si>
  <si>
    <t>Development of 8th main park 2nd block Kalyananagar ward no 27</t>
  </si>
  <si>
    <t>Technical Manager-II, KRIDL</t>
  </si>
  <si>
    <t>August</t>
  </si>
  <si>
    <t>027-15-000013</t>
  </si>
  <si>
    <t>Improvements to Road at Yogivemma road and Makuntamma Nagara surroundings areas in ward no 27 Banasawadi</t>
  </si>
  <si>
    <t>027-17-000069</t>
  </si>
  <si>
    <t xml:space="preserve">Providing Elders GYM equipment to OMBR layout park in ward no 27 </t>
  </si>
  <si>
    <t>Technical Manager KRIDL-2</t>
  </si>
  <si>
    <t>027-17-000071</t>
  </si>
  <si>
    <t>Providing Elders GYM equipment and other developmental works at HRBR 1st block park in ward no 27 to OMBR layout park in ward no 27</t>
  </si>
  <si>
    <t>Technical Manager</t>
  </si>
  <si>
    <t>027-17-000070</t>
  </si>
  <si>
    <t>Prooviding Elders GYM equipment to OMBR layout park (Near Petrol Bunk) in ward no 27</t>
  </si>
  <si>
    <t>technical manager kridl-2</t>
  </si>
  <si>
    <t>027-17-000072</t>
  </si>
  <si>
    <t>Repairs to Pathway children Play equipment Chain link Fencing and other Repair works in ward no 27 Banasawadi</t>
  </si>
  <si>
    <t>027-17-000119</t>
  </si>
  <si>
    <t>Engagement of Gangman and Hiring of Tractor Tippers for cleaning and Maintenance of road side drains and other cleaning works in works in ward no 27</t>
  </si>
  <si>
    <t>V.Sendhilkumar</t>
  </si>
  <si>
    <t>P3110</t>
  </si>
  <si>
    <t>14th Finance Commission Grant Works</t>
  </si>
  <si>
    <t>027-17-000016</t>
  </si>
  <si>
    <t>Improvements to Roads and Drains in Venkatappa Layout in Ward No.27, Banasawadi.</t>
  </si>
  <si>
    <t>Venkatachala.K.S.</t>
  </si>
  <si>
    <t>027-18-000017</t>
  </si>
  <si>
    <t>Improvements to Drains at 6th, 6th A and 7th Cross, HRBR Layout, 2nd Block, in Ward No.27</t>
  </si>
  <si>
    <t>M/s KRIDL, The Technical Manager-01,</t>
  </si>
  <si>
    <t>027-18-000018</t>
  </si>
  <si>
    <t>Improvements to Drains at Lakshmamma Layout Surrounding area in Ward No.27</t>
  </si>
  <si>
    <t>027-17-000024</t>
  </si>
  <si>
    <t>Maintenance of Ward and Removal of Debris in Ward No.27, Banasawadi</t>
  </si>
  <si>
    <t>Health &amp; Sanitation</t>
  </si>
  <si>
    <t>L.Ramachandra,</t>
  </si>
  <si>
    <t>September</t>
  </si>
  <si>
    <t>027-18-000039</t>
  </si>
  <si>
    <t>IMPROVEMENTS TO DRIN AT NEW AK COLONY 4TH CROSS IN WARD NO 27</t>
  </si>
  <si>
    <t xml:space="preserve">Technical Manager KRIDL </t>
  </si>
  <si>
    <t>027-18-000036</t>
  </si>
  <si>
    <t>M/s KRIDL, The Technical Manager-01</t>
  </si>
  <si>
    <t>027-17-000018</t>
  </si>
  <si>
    <t>Improvements to Drains and Culverts in HRBR Layout in Ward No.27, Banasawadi.</t>
  </si>
  <si>
    <t>Mohan.G,</t>
  </si>
  <si>
    <t>027-17-000020</t>
  </si>
  <si>
    <t>Improvements to Roads, Drains and Culverts in Peddanna Layout in Ward No.27, Banasawadi.</t>
  </si>
  <si>
    <t>M.Abhilash Murthy,</t>
  </si>
  <si>
    <t>027-17-000021</t>
  </si>
  <si>
    <t>Improvements to Roads, Drains and Culverts in Annaiah Reddy Layout and Balaji Layout in Ward No.27, Banasawadi.</t>
  </si>
  <si>
    <t>027-17-000017</t>
  </si>
  <si>
    <t>Improvements to Drains and Culverts in Vanajamma Layout in Ward No.27, Banasawadi.</t>
  </si>
  <si>
    <t>027-16-000020</t>
  </si>
  <si>
    <t>Providing of Streetlights, Control Switches , Control Wire Etc., and repairs to the fountain at Rajkumar park in Banaswadi ward 27</t>
  </si>
  <si>
    <t>M/s.Lakshmikantha Electricals</t>
  </si>
  <si>
    <t>P0287</t>
  </si>
  <si>
    <t>M and R to Electrical Crematoria</t>
  </si>
  <si>
    <t>November</t>
  </si>
  <si>
    <t>027-18-000189</t>
  </si>
  <si>
    <t>Providing Safety Grill and beautification around indira canteen in ward No 27</t>
  </si>
  <si>
    <t>Indira Canteen</t>
  </si>
  <si>
    <t>The Technical Manager-01,</t>
  </si>
  <si>
    <t>P3106</t>
  </si>
  <si>
    <t>Nagarothana Works</t>
  </si>
  <si>
    <t>December</t>
  </si>
  <si>
    <t>027-18-000033</t>
  </si>
  <si>
    <t>Development works for Providing Drinking water facility in ward no 27 and 28 in Sarvagnanagara Assembly Constituency</t>
  </si>
  <si>
    <t>Drinking Water</t>
  </si>
  <si>
    <t xml:space="preserve">Technical Manger </t>
  </si>
  <si>
    <t>P3075</t>
  </si>
  <si>
    <t>Special comprehensive development works in Bangalore city (Bangalore city in charge Minister Discretionary Grants)</t>
  </si>
  <si>
    <t>027-14-000032</t>
  </si>
  <si>
    <t>Improvemnts to Drains at 2nd Cross ( Bus stand to 100ft Road Link Road ) and Asphalting to Peddanna Layout in Ward No.27 Banasavadi.</t>
  </si>
  <si>
    <t>P2434</t>
  </si>
  <si>
    <t>Development works for Bangalore City</t>
  </si>
  <si>
    <t>027-13-000021</t>
  </si>
  <si>
    <t>Improvements to drains and road at PNS Layout in ward no. 27</t>
  </si>
  <si>
    <t>P2201</t>
  </si>
  <si>
    <t>Assembly Constituency Development Works under BBMP</t>
  </si>
  <si>
    <t>January</t>
  </si>
  <si>
    <t>027-18-000012</t>
  </si>
  <si>
    <t>Improvements to Balance Drains and Culverts at 4th Cross in Ward No.27</t>
  </si>
  <si>
    <t>M/s KRIDL,  The Technical Manager-01,</t>
  </si>
  <si>
    <t>027-18-000015</t>
  </si>
  <si>
    <t>Improvements to Road and Drains at Kalyanamma Layout Surrounding area in Ward No.27</t>
  </si>
  <si>
    <t>027-18-000026</t>
  </si>
  <si>
    <t>Remodeling (Re-Sectioning) of Secondary Storm water drain H-401 from Kalyana Nagar Banasawadi 80 road (7th main) to 8th main Join H-400 in ward no 27</t>
  </si>
  <si>
    <t>Storm Water Drains</t>
  </si>
  <si>
    <t xml:space="preserve">S.L.Narayana prop Puttalakshmi Enterpirses </t>
  </si>
  <si>
    <t>ddo313</t>
  </si>
  <si>
    <t xml:space="preserve"> Chief Engineer SWD Central Zone</t>
  </si>
  <si>
    <t>304-18-000076</t>
  </si>
  <si>
    <t>Improvements and asphalting to Banasawadi main road IOC flyover (Ayyappa swamy Temple Road) in ward no 27 Sarvagnanagar Constituency..</t>
  </si>
  <si>
    <t>KRIDL,  The Technical Manager -1/2/3/4</t>
  </si>
  <si>
    <t>P3158</t>
  </si>
  <si>
    <t>SIP Infrastructure Project works</t>
  </si>
  <si>
    <t>ddo315</t>
  </si>
  <si>
    <t xml:space="preserve"> Executive Engineer Major Road East Central Zone</t>
  </si>
  <si>
    <t>February</t>
  </si>
  <si>
    <t>027-18-000038</t>
  </si>
  <si>
    <t>IMPROVEMENTS TO ROAD AT NEW AK COLONY 1ST CROSS IN WARD NO 27</t>
  </si>
  <si>
    <t>March</t>
  </si>
  <si>
    <t>027-18-000049</t>
  </si>
  <si>
    <t xml:space="preserve">Maintenance of Ward by engaging Private Labours and Removal of Debris in Ward No.27, Banasawadi </t>
  </si>
  <si>
    <t xml:space="preserve">G.C.S.Constructions, </t>
  </si>
  <si>
    <t>027-18-000035</t>
  </si>
  <si>
    <t>IMPROVEMENTS TO DRIN AND ROADS AT ASHWATHAPPA LAYOUT IN WARD NO 27</t>
  </si>
  <si>
    <t xml:space="preserve">M/s KRIDL, The Technical Manager-01, </t>
  </si>
  <si>
    <t>027-18-000037</t>
  </si>
  <si>
    <t>IMPROVEMENTS TO DRIN AT NEW AK COLONY MAIN ROAD IN WARD NO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</si>
</sst>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workbookViewId="0">
      <pane ySplit="1" topLeftCell="A2" activePane="bottomLeft" state="frozen"/>
      <selection activeCell="H1" sqref="H1"/>
      <selection pane="bottomLeft" activeCell="A2" sqref="A2:XFD52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604</v>
      </c>
      <c r="B2" s="9" t="s">
        <v>33</v>
      </c>
      <c r="C2" s="10">
        <v>43214</v>
      </c>
      <c r="D2" s="11">
        <v>27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"000056"</f>
        <v>000056</v>
      </c>
      <c r="M2" s="10">
        <v>42548</v>
      </c>
      <c r="N2" s="11" t="str">
        <f>"000045"</f>
        <v>000045</v>
      </c>
      <c r="O2" s="10">
        <v>42581</v>
      </c>
      <c r="P2" s="11" t="str">
        <f>"000158"</f>
        <v>000158</v>
      </c>
      <c r="Q2" s="10">
        <v>42581</v>
      </c>
      <c r="R2" s="11">
        <v>16</v>
      </c>
      <c r="S2" s="11" t="str">
        <f>"000586"</f>
        <v>000586</v>
      </c>
      <c r="T2" s="10">
        <v>43203</v>
      </c>
      <c r="U2" s="14">
        <v>19.59778</v>
      </c>
      <c r="V2" s="14">
        <v>2.649</v>
      </c>
      <c r="W2" s="14">
        <v>16.948779999999999</v>
      </c>
      <c r="X2" s="11">
        <v>23</v>
      </c>
      <c r="Y2" s="10">
        <v>43214</v>
      </c>
      <c r="Z2" s="11">
        <v>9964929025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0.19597780000000001</v>
      </c>
      <c r="AG2" s="11" t="s">
        <v>46</v>
      </c>
    </row>
    <row r="3" spans="1:33" x14ac:dyDescent="0.2">
      <c r="A3" s="8">
        <v>1098</v>
      </c>
      <c r="B3" s="9" t="s">
        <v>47</v>
      </c>
      <c r="C3" s="10">
        <v>43230</v>
      </c>
      <c r="D3" s="11">
        <v>27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48</v>
      </c>
      <c r="J3" s="12" t="s">
        <v>49</v>
      </c>
      <c r="K3" s="13" t="s">
        <v>50</v>
      </c>
      <c r="L3" s="11" t="str">
        <f>"000053"</f>
        <v>000053</v>
      </c>
      <c r="M3" s="10">
        <v>42693</v>
      </c>
      <c r="N3" s="11" t="str">
        <f>"83"</f>
        <v>83</v>
      </c>
      <c r="O3" s="10" t="s">
        <v>51</v>
      </c>
      <c r="P3" s="11" t="str">
        <f>"660"</f>
        <v>660</v>
      </c>
      <c r="Q3" s="10">
        <v>16</v>
      </c>
      <c r="R3" s="11">
        <v>17</v>
      </c>
      <c r="S3" s="11" t="str">
        <f>"001216"</f>
        <v>001216</v>
      </c>
      <c r="T3" s="10">
        <v>43228</v>
      </c>
      <c r="U3" s="14">
        <v>19.97167</v>
      </c>
      <c r="V3" s="14">
        <v>3.01613</v>
      </c>
      <c r="W3" s="14">
        <v>16.955539999999999</v>
      </c>
      <c r="X3" s="11">
        <v>48</v>
      </c>
      <c r="Y3" s="10">
        <v>43230</v>
      </c>
      <c r="Z3" s="11">
        <v>9740402579</v>
      </c>
      <c r="AA3" s="12" t="s">
        <v>52</v>
      </c>
      <c r="AB3" s="11" t="s">
        <v>53</v>
      </c>
      <c r="AC3" s="12" t="s">
        <v>54</v>
      </c>
      <c r="AD3" s="11" t="s">
        <v>55</v>
      </c>
      <c r="AE3" s="12" t="s">
        <v>56</v>
      </c>
      <c r="AF3" s="14">
        <v>0.1997167</v>
      </c>
      <c r="AG3" s="11" t="s">
        <v>46</v>
      </c>
    </row>
    <row r="4" spans="1:33" x14ac:dyDescent="0.2">
      <c r="A4" s="8">
        <v>1099</v>
      </c>
      <c r="B4" s="9" t="s">
        <v>47</v>
      </c>
      <c r="C4" s="10">
        <v>43230</v>
      </c>
      <c r="D4" s="11">
        <v>27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57</v>
      </c>
      <c r="J4" s="12" t="s">
        <v>58</v>
      </c>
      <c r="K4" s="13" t="s">
        <v>50</v>
      </c>
      <c r="L4" s="11" t="str">
        <f>"000043"</f>
        <v>000043</v>
      </c>
      <c r="M4" s="10">
        <v>42693</v>
      </c>
      <c r="N4" s="11" t="str">
        <f>"77"</f>
        <v>77</v>
      </c>
      <c r="O4" s="10" t="s">
        <v>51</v>
      </c>
      <c r="P4" s="11" t="str">
        <f>"662"</f>
        <v>662</v>
      </c>
      <c r="Q4" s="10">
        <v>16</v>
      </c>
      <c r="R4" s="11">
        <v>17</v>
      </c>
      <c r="S4" s="11" t="str">
        <f>"001218"</f>
        <v>001218</v>
      </c>
      <c r="T4" s="10">
        <v>43228</v>
      </c>
      <c r="U4" s="14">
        <v>19.8873</v>
      </c>
      <c r="V4" s="14">
        <v>2.9096500000000001</v>
      </c>
      <c r="W4" s="14">
        <v>16.977650000000001</v>
      </c>
      <c r="X4" s="11">
        <v>48</v>
      </c>
      <c r="Y4" s="10">
        <v>43230</v>
      </c>
      <c r="Z4" s="11">
        <v>9844045297</v>
      </c>
      <c r="AA4" s="12" t="s">
        <v>52</v>
      </c>
      <c r="AB4" s="11" t="s">
        <v>53</v>
      </c>
      <c r="AC4" s="12" t="s">
        <v>54</v>
      </c>
      <c r="AD4" s="11" t="s">
        <v>55</v>
      </c>
      <c r="AE4" s="12" t="s">
        <v>56</v>
      </c>
      <c r="AF4" s="14">
        <v>0.19887299999999999</v>
      </c>
      <c r="AG4" s="11" t="s">
        <v>46</v>
      </c>
    </row>
    <row r="5" spans="1:33" x14ac:dyDescent="0.2">
      <c r="A5" s="8">
        <v>1100</v>
      </c>
      <c r="B5" s="9" t="s">
        <v>47</v>
      </c>
      <c r="C5" s="10">
        <v>43230</v>
      </c>
      <c r="D5" s="11">
        <v>27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59</v>
      </c>
      <c r="J5" s="12" t="s">
        <v>60</v>
      </c>
      <c r="K5" s="13" t="s">
        <v>50</v>
      </c>
      <c r="L5" s="11" t="str">
        <f>"000042"</f>
        <v>000042</v>
      </c>
      <c r="M5" s="10">
        <v>42693</v>
      </c>
      <c r="N5" s="11" t="str">
        <f>"81"</f>
        <v>81</v>
      </c>
      <c r="O5" s="10" t="s">
        <v>51</v>
      </c>
      <c r="P5" s="11" t="str">
        <f>"663"</f>
        <v>663</v>
      </c>
      <c r="Q5" s="10">
        <v>16</v>
      </c>
      <c r="R5" s="11">
        <v>17</v>
      </c>
      <c r="S5" s="11" t="str">
        <f>"001221"</f>
        <v>001221</v>
      </c>
      <c r="T5" s="10">
        <v>43228</v>
      </c>
      <c r="U5" s="14">
        <v>19.97429</v>
      </c>
      <c r="V5" s="14">
        <v>3.0164900000000001</v>
      </c>
      <c r="W5" s="14">
        <v>16.957799999999999</v>
      </c>
      <c r="X5" s="11">
        <v>48</v>
      </c>
      <c r="Y5" s="10">
        <v>43230</v>
      </c>
      <c r="Z5" s="11">
        <v>9740402579</v>
      </c>
      <c r="AA5" s="12" t="s">
        <v>61</v>
      </c>
      <c r="AB5" s="11" t="s">
        <v>53</v>
      </c>
      <c r="AC5" s="12" t="s">
        <v>54</v>
      </c>
      <c r="AD5" s="11" t="s">
        <v>55</v>
      </c>
      <c r="AE5" s="12" t="s">
        <v>56</v>
      </c>
      <c r="AF5" s="14">
        <v>0.1997429</v>
      </c>
      <c r="AG5" s="11" t="s">
        <v>46</v>
      </c>
    </row>
    <row r="6" spans="1:33" x14ac:dyDescent="0.2">
      <c r="A6" s="8">
        <v>1101</v>
      </c>
      <c r="B6" s="9" t="s">
        <v>47</v>
      </c>
      <c r="C6" s="10">
        <v>43230</v>
      </c>
      <c r="D6" s="11">
        <v>27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62</v>
      </c>
      <c r="J6" s="12" t="s">
        <v>63</v>
      </c>
      <c r="K6" s="13" t="s">
        <v>50</v>
      </c>
      <c r="L6" s="11" t="str">
        <f>"000052"</f>
        <v>000052</v>
      </c>
      <c r="M6" s="10">
        <v>42693</v>
      </c>
      <c r="N6" s="11" t="str">
        <f>"80"</f>
        <v>80</v>
      </c>
      <c r="O6" s="10" t="s">
        <v>51</v>
      </c>
      <c r="P6" s="11" t="str">
        <f>"666"</f>
        <v>666</v>
      </c>
      <c r="Q6" s="10">
        <v>16</v>
      </c>
      <c r="R6" s="11">
        <v>17</v>
      </c>
      <c r="S6" s="11" t="str">
        <f>"001225"</f>
        <v>001225</v>
      </c>
      <c r="T6" s="10">
        <v>43228</v>
      </c>
      <c r="U6" s="14">
        <v>19.992229999999999</v>
      </c>
      <c r="V6" s="14">
        <v>2.9289299999999998</v>
      </c>
      <c r="W6" s="14">
        <v>17.063300000000002</v>
      </c>
      <c r="X6" s="11">
        <v>48</v>
      </c>
      <c r="Y6" s="10">
        <v>43230</v>
      </c>
      <c r="Z6" s="11">
        <v>9844045297</v>
      </c>
      <c r="AA6" s="12" t="s">
        <v>52</v>
      </c>
      <c r="AB6" s="11" t="s">
        <v>53</v>
      </c>
      <c r="AC6" s="12" t="s">
        <v>54</v>
      </c>
      <c r="AD6" s="11" t="s">
        <v>55</v>
      </c>
      <c r="AE6" s="12" t="s">
        <v>56</v>
      </c>
      <c r="AF6" s="14">
        <v>0.1999223</v>
      </c>
      <c r="AG6" s="11" t="s">
        <v>46</v>
      </c>
    </row>
    <row r="7" spans="1:33" x14ac:dyDescent="0.2">
      <c r="A7" s="8">
        <v>1102</v>
      </c>
      <c r="B7" s="9" t="s">
        <v>47</v>
      </c>
      <c r="C7" s="10">
        <v>43230</v>
      </c>
      <c r="D7" s="11">
        <v>27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64</v>
      </c>
      <c r="J7" s="12" t="s">
        <v>65</v>
      </c>
      <c r="K7" s="13" t="s">
        <v>50</v>
      </c>
      <c r="L7" s="11" t="str">
        <f>"000054"</f>
        <v>000054</v>
      </c>
      <c r="M7" s="10">
        <v>42693</v>
      </c>
      <c r="N7" s="11" t="str">
        <f>"78"</f>
        <v>78</v>
      </c>
      <c r="O7" s="10" t="s">
        <v>51</v>
      </c>
      <c r="P7" s="11" t="str">
        <f>"670-16"</f>
        <v>670-16</v>
      </c>
      <c r="Q7" s="10">
        <v>42765</v>
      </c>
      <c r="R7" s="11">
        <v>17</v>
      </c>
      <c r="S7" s="11" t="str">
        <f>"001227"</f>
        <v>001227</v>
      </c>
      <c r="T7" s="10">
        <v>43228</v>
      </c>
      <c r="U7" s="14">
        <v>19.992229999999999</v>
      </c>
      <c r="V7" s="14">
        <v>2.9289299999999998</v>
      </c>
      <c r="W7" s="14">
        <v>17.063300000000002</v>
      </c>
      <c r="X7" s="11">
        <v>48</v>
      </c>
      <c r="Y7" s="10">
        <v>43230</v>
      </c>
      <c r="Z7" s="11">
        <v>9844045297</v>
      </c>
      <c r="AA7" s="12" t="s">
        <v>66</v>
      </c>
      <c r="AB7" s="11" t="s">
        <v>53</v>
      </c>
      <c r="AC7" s="12" t="s">
        <v>54</v>
      </c>
      <c r="AD7" s="11" t="s">
        <v>55</v>
      </c>
      <c r="AE7" s="12" t="s">
        <v>56</v>
      </c>
      <c r="AF7" s="14">
        <v>0.1999223</v>
      </c>
      <c r="AG7" s="11" t="s">
        <v>46</v>
      </c>
    </row>
    <row r="8" spans="1:33" x14ac:dyDescent="0.2">
      <c r="A8" s="8">
        <v>1294</v>
      </c>
      <c r="B8" s="9" t="s">
        <v>47</v>
      </c>
      <c r="C8" s="10">
        <v>43241</v>
      </c>
      <c r="D8" s="11">
        <v>27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67</v>
      </c>
      <c r="J8" s="12" t="s">
        <v>68</v>
      </c>
      <c r="K8" s="13" t="s">
        <v>69</v>
      </c>
      <c r="L8" s="11" t="str">
        <f>"000254"</f>
        <v>000254</v>
      </c>
      <c r="M8" s="10">
        <v>43142</v>
      </c>
      <c r="N8" s="11" t="str">
        <f>"000005"</f>
        <v>000005</v>
      </c>
      <c r="O8" s="10">
        <v>43211</v>
      </c>
      <c r="P8" s="11" t="str">
        <f>"000010"</f>
        <v>000010</v>
      </c>
      <c r="Q8" s="10">
        <v>43211</v>
      </c>
      <c r="R8" s="11">
        <v>18</v>
      </c>
      <c r="S8" s="11" t="str">
        <f>"001367"</f>
        <v>001367</v>
      </c>
      <c r="T8" s="10">
        <v>43230</v>
      </c>
      <c r="U8" s="14">
        <v>29.872050000000002</v>
      </c>
      <c r="V8" s="14">
        <v>2.8681000000000001</v>
      </c>
      <c r="W8" s="14">
        <v>27.00395</v>
      </c>
      <c r="X8" s="11">
        <v>54</v>
      </c>
      <c r="Y8" s="10">
        <v>43241</v>
      </c>
      <c r="Z8" s="11">
        <v>1234567890</v>
      </c>
      <c r="AA8" s="12" t="s">
        <v>70</v>
      </c>
      <c r="AB8" s="11" t="s">
        <v>71</v>
      </c>
      <c r="AC8" s="12" t="s">
        <v>72</v>
      </c>
      <c r="AD8" s="11" t="s">
        <v>44</v>
      </c>
      <c r="AE8" s="12" t="s">
        <v>45</v>
      </c>
      <c r="AF8" s="14">
        <v>0.2987205</v>
      </c>
      <c r="AG8" s="11" t="s">
        <v>73</v>
      </c>
    </row>
    <row r="9" spans="1:33" x14ac:dyDescent="0.2">
      <c r="A9" s="8">
        <v>1295</v>
      </c>
      <c r="B9" s="9" t="s">
        <v>47</v>
      </c>
      <c r="C9" s="10">
        <v>43241</v>
      </c>
      <c r="D9" s="11">
        <v>27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74</v>
      </c>
      <c r="J9" s="12" t="s">
        <v>75</v>
      </c>
      <c r="K9" s="13" t="s">
        <v>76</v>
      </c>
      <c r="L9" s="11" t="str">
        <f>"000030"</f>
        <v>000030</v>
      </c>
      <c r="M9" s="10">
        <v>43173</v>
      </c>
      <c r="N9" s="11" t="str">
        <f>"000023"</f>
        <v>000023</v>
      </c>
      <c r="O9" s="10">
        <v>43190</v>
      </c>
      <c r="P9" s="11" t="str">
        <f>"000001"</f>
        <v>000001</v>
      </c>
      <c r="Q9" s="10">
        <v>43210</v>
      </c>
      <c r="R9" s="11">
        <v>18</v>
      </c>
      <c r="S9" s="11" t="str">
        <f>"001508"</f>
        <v>001508</v>
      </c>
      <c r="T9" s="10">
        <v>43237</v>
      </c>
      <c r="U9" s="14">
        <v>9.7024000000000008</v>
      </c>
      <c r="V9" s="14">
        <v>0.88400000000000001</v>
      </c>
      <c r="W9" s="14">
        <v>8.8184000000000005</v>
      </c>
      <c r="X9" s="11">
        <v>54</v>
      </c>
      <c r="Y9" s="10">
        <v>43241</v>
      </c>
      <c r="Z9" s="11">
        <v>8022975815</v>
      </c>
      <c r="AA9" s="12" t="s">
        <v>77</v>
      </c>
      <c r="AB9" s="11" t="s">
        <v>71</v>
      </c>
      <c r="AC9" s="12" t="s">
        <v>72</v>
      </c>
      <c r="AD9" s="11" t="s">
        <v>55</v>
      </c>
      <c r="AE9" s="12" t="s">
        <v>56</v>
      </c>
      <c r="AF9" s="14">
        <v>9.7024000000000013E-2</v>
      </c>
      <c r="AG9" s="11" t="s">
        <v>73</v>
      </c>
    </row>
    <row r="10" spans="1:33" x14ac:dyDescent="0.2">
      <c r="A10" s="8">
        <v>1416</v>
      </c>
      <c r="B10" s="9" t="s">
        <v>47</v>
      </c>
      <c r="C10" s="10">
        <v>43242</v>
      </c>
      <c r="D10" s="11">
        <v>27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78</v>
      </c>
      <c r="J10" s="12" t="s">
        <v>79</v>
      </c>
      <c r="K10" s="13" t="s">
        <v>76</v>
      </c>
      <c r="L10" s="11" t="str">
        <f>"000024"</f>
        <v>000024</v>
      </c>
      <c r="M10" s="10">
        <v>42508</v>
      </c>
      <c r="N10" s="11" t="str">
        <f>"046"</f>
        <v>046</v>
      </c>
      <c r="O10" s="10">
        <v>17</v>
      </c>
      <c r="P10" s="11" t="str">
        <f>"128"</f>
        <v>128</v>
      </c>
      <c r="Q10" s="10">
        <v>17</v>
      </c>
      <c r="R10" s="11">
        <v>16</v>
      </c>
      <c r="S10" s="11" t="str">
        <f>""</f>
        <v/>
      </c>
      <c r="T10" s="10"/>
      <c r="U10" s="14">
        <v>8.8816500000000005</v>
      </c>
      <c r="V10" s="14">
        <v>1.3293999999999999</v>
      </c>
      <c r="W10" s="14">
        <v>7.5522499999999999</v>
      </c>
      <c r="X10" s="11">
        <v>59</v>
      </c>
      <c r="Y10" s="10">
        <v>43242</v>
      </c>
      <c r="Z10" s="11">
        <v>9845860866</v>
      </c>
      <c r="AA10" s="12" t="s">
        <v>80</v>
      </c>
      <c r="AB10" s="11" t="s">
        <v>81</v>
      </c>
      <c r="AC10" s="12" t="s">
        <v>82</v>
      </c>
      <c r="AD10" s="11" t="s">
        <v>83</v>
      </c>
      <c r="AE10" s="12" t="s">
        <v>84</v>
      </c>
      <c r="AF10" s="14">
        <v>8.8816500000000007E-2</v>
      </c>
      <c r="AG10" s="11" t="s">
        <v>46</v>
      </c>
    </row>
    <row r="11" spans="1:33" x14ac:dyDescent="0.2">
      <c r="A11" s="8">
        <v>2221</v>
      </c>
      <c r="B11" s="9" t="s">
        <v>85</v>
      </c>
      <c r="C11" s="10">
        <v>43269</v>
      </c>
      <c r="D11" s="11">
        <v>27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86</v>
      </c>
      <c r="J11" s="12" t="s">
        <v>87</v>
      </c>
      <c r="K11" s="13" t="s">
        <v>69</v>
      </c>
      <c r="L11" s="11" t="str">
        <f>"000033"</f>
        <v>000033</v>
      </c>
      <c r="M11" s="10">
        <v>42539</v>
      </c>
      <c r="N11" s="11" t="str">
        <f>"000073"</f>
        <v>000073</v>
      </c>
      <c r="O11" s="10">
        <v>42641</v>
      </c>
      <c r="P11" s="11" t="str">
        <f>"000258"</f>
        <v>000258</v>
      </c>
      <c r="Q11" s="10">
        <v>42641</v>
      </c>
      <c r="R11" s="11">
        <v>16</v>
      </c>
      <c r="S11" s="11" t="str">
        <f>"002399"</f>
        <v>002399</v>
      </c>
      <c r="T11" s="10">
        <v>43262</v>
      </c>
      <c r="U11" s="14">
        <v>9.4093900000000001</v>
      </c>
      <c r="V11" s="14">
        <v>0.69899999999999995</v>
      </c>
      <c r="W11" s="14">
        <v>8.7103900000000003</v>
      </c>
      <c r="X11" s="11">
        <v>90</v>
      </c>
      <c r="Y11" s="10">
        <v>43269</v>
      </c>
      <c r="Z11" s="11">
        <v>9880606891</v>
      </c>
      <c r="AA11" s="12" t="s">
        <v>88</v>
      </c>
      <c r="AB11" s="11" t="s">
        <v>89</v>
      </c>
      <c r="AC11" s="12" t="s">
        <v>90</v>
      </c>
      <c r="AD11" s="11" t="s">
        <v>44</v>
      </c>
      <c r="AE11" s="12" t="s">
        <v>45</v>
      </c>
      <c r="AF11" s="14">
        <v>9.4093900000000008E-2</v>
      </c>
      <c r="AG11" s="11" t="s">
        <v>46</v>
      </c>
    </row>
    <row r="12" spans="1:33" x14ac:dyDescent="0.2">
      <c r="A12" s="8">
        <v>2222</v>
      </c>
      <c r="B12" s="9" t="s">
        <v>85</v>
      </c>
      <c r="C12" s="10">
        <v>43269</v>
      </c>
      <c r="D12" s="11">
        <v>27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91</v>
      </c>
      <c r="J12" s="12" t="s">
        <v>92</v>
      </c>
      <c r="K12" s="13" t="s">
        <v>69</v>
      </c>
      <c r="L12" s="11" t="str">
        <f>"000127"</f>
        <v>000127</v>
      </c>
      <c r="M12" s="10">
        <v>42580</v>
      </c>
      <c r="N12" s="11" t="str">
        <f>"000072"</f>
        <v>000072</v>
      </c>
      <c r="O12" s="10">
        <v>42641</v>
      </c>
      <c r="P12" s="11" t="str">
        <f>"000257"</f>
        <v>000257</v>
      </c>
      <c r="Q12" s="10">
        <v>42642</v>
      </c>
      <c r="R12" s="11">
        <v>15</v>
      </c>
      <c r="S12" s="11" t="str">
        <f>"002573"</f>
        <v>002573</v>
      </c>
      <c r="T12" s="10">
        <v>43265</v>
      </c>
      <c r="U12" s="14">
        <v>13.613189999999999</v>
      </c>
      <c r="V12" s="14">
        <v>1.0165</v>
      </c>
      <c r="W12" s="14">
        <v>12.596690000000001</v>
      </c>
      <c r="X12" s="11">
        <v>90</v>
      </c>
      <c r="Y12" s="10">
        <v>43269</v>
      </c>
      <c r="Z12" s="11">
        <v>9880606891</v>
      </c>
      <c r="AA12" s="12" t="s">
        <v>88</v>
      </c>
      <c r="AB12" s="11" t="s">
        <v>93</v>
      </c>
      <c r="AC12" s="12" t="s">
        <v>94</v>
      </c>
      <c r="AD12" s="11" t="s">
        <v>44</v>
      </c>
      <c r="AE12" s="12" t="s">
        <v>45</v>
      </c>
      <c r="AF12" s="14">
        <v>0.1361319</v>
      </c>
      <c r="AG12" s="11" t="s">
        <v>46</v>
      </c>
    </row>
    <row r="13" spans="1:33" x14ac:dyDescent="0.2">
      <c r="A13" s="8">
        <v>2223</v>
      </c>
      <c r="B13" s="9" t="s">
        <v>85</v>
      </c>
      <c r="C13" s="10">
        <v>43269</v>
      </c>
      <c r="D13" s="11">
        <v>27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95</v>
      </c>
      <c r="J13" s="12" t="s">
        <v>96</v>
      </c>
      <c r="K13" s="13" t="s">
        <v>76</v>
      </c>
      <c r="L13" s="11" t="str">
        <f>"000051"</f>
        <v>000051</v>
      </c>
      <c r="M13" s="10">
        <v>42693</v>
      </c>
      <c r="N13" s="11" t="str">
        <f>"79"</f>
        <v>79</v>
      </c>
      <c r="O13" s="10" t="s">
        <v>51</v>
      </c>
      <c r="P13" s="11" t="str">
        <f>"664"</f>
        <v>664</v>
      </c>
      <c r="Q13" s="10">
        <v>16</v>
      </c>
      <c r="R13" s="11">
        <v>17</v>
      </c>
      <c r="S13" s="11" t="str">
        <f>"002495"</f>
        <v>002495</v>
      </c>
      <c r="T13" s="10">
        <v>43264</v>
      </c>
      <c r="U13" s="14">
        <v>19.992229999999999</v>
      </c>
      <c r="V13" s="14">
        <v>2.9289299999999998</v>
      </c>
      <c r="W13" s="14">
        <v>17.063300000000002</v>
      </c>
      <c r="X13" s="11">
        <v>91</v>
      </c>
      <c r="Y13" s="10">
        <v>43269</v>
      </c>
      <c r="Z13" s="11">
        <v>9844045297</v>
      </c>
      <c r="AA13" s="12" t="s">
        <v>97</v>
      </c>
      <c r="AB13" s="11" t="s">
        <v>42</v>
      </c>
      <c r="AC13" s="12" t="s">
        <v>43</v>
      </c>
      <c r="AD13" s="11" t="s">
        <v>55</v>
      </c>
      <c r="AE13" s="12" t="s">
        <v>56</v>
      </c>
      <c r="AF13" s="14">
        <v>0.1999223</v>
      </c>
      <c r="AG13" s="11" t="s">
        <v>46</v>
      </c>
    </row>
    <row r="14" spans="1:33" x14ac:dyDescent="0.2">
      <c r="A14" s="8">
        <v>2224</v>
      </c>
      <c r="B14" s="9" t="s">
        <v>85</v>
      </c>
      <c r="C14" s="10">
        <v>43269</v>
      </c>
      <c r="D14" s="11">
        <v>27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98</v>
      </c>
      <c r="J14" s="12" t="s">
        <v>99</v>
      </c>
      <c r="K14" s="13" t="s">
        <v>76</v>
      </c>
      <c r="L14" s="11" t="str">
        <f>"000045"</f>
        <v>000045</v>
      </c>
      <c r="M14" s="10">
        <v>42693</v>
      </c>
      <c r="N14" s="11" t="str">
        <f>"75"</f>
        <v>75</v>
      </c>
      <c r="O14" s="10" t="s">
        <v>51</v>
      </c>
      <c r="P14" s="11" t="str">
        <f>"669"</f>
        <v>669</v>
      </c>
      <c r="Q14" s="10">
        <v>16</v>
      </c>
      <c r="R14" s="11">
        <v>17</v>
      </c>
      <c r="S14" s="11" t="str">
        <f>"002503"</f>
        <v>002503</v>
      </c>
      <c r="T14" s="10">
        <v>43264</v>
      </c>
      <c r="U14" s="14">
        <v>9.9569299999999998</v>
      </c>
      <c r="V14" s="14">
        <v>1.4641200000000001</v>
      </c>
      <c r="W14" s="14">
        <v>8.4928100000000004</v>
      </c>
      <c r="X14" s="11">
        <v>91</v>
      </c>
      <c r="Y14" s="10">
        <v>43269</v>
      </c>
      <c r="Z14" s="11">
        <v>9740402579</v>
      </c>
      <c r="AA14" s="12" t="s">
        <v>52</v>
      </c>
      <c r="AB14" s="11" t="s">
        <v>42</v>
      </c>
      <c r="AC14" s="12" t="s">
        <v>43</v>
      </c>
      <c r="AD14" s="11" t="s">
        <v>55</v>
      </c>
      <c r="AE14" s="12" t="s">
        <v>56</v>
      </c>
      <c r="AF14" s="14">
        <v>9.9569299999999999E-2</v>
      </c>
      <c r="AG14" s="11" t="s">
        <v>46</v>
      </c>
    </row>
    <row r="15" spans="1:33" x14ac:dyDescent="0.2">
      <c r="A15" s="8">
        <v>2491</v>
      </c>
      <c r="B15" s="9" t="s">
        <v>85</v>
      </c>
      <c r="C15" s="10">
        <v>43274</v>
      </c>
      <c r="D15" s="11">
        <v>27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100</v>
      </c>
      <c r="J15" s="12" t="s">
        <v>101</v>
      </c>
      <c r="K15" s="13" t="s">
        <v>69</v>
      </c>
      <c r="L15" s="11" t="str">
        <f>"000057"</f>
        <v>000057</v>
      </c>
      <c r="M15" s="10">
        <v>42548</v>
      </c>
      <c r="N15" s="11" t="str">
        <f>"000087"</f>
        <v>000087</v>
      </c>
      <c r="O15" s="10">
        <v>42671</v>
      </c>
      <c r="P15" s="11" t="str">
        <f>"000294"</f>
        <v>000294</v>
      </c>
      <c r="Q15" s="10">
        <v>42671</v>
      </c>
      <c r="R15" s="11">
        <v>16</v>
      </c>
      <c r="S15" s="11" t="str">
        <f>"002804"</f>
        <v>002804</v>
      </c>
      <c r="T15" s="10">
        <v>43271</v>
      </c>
      <c r="U15" s="14">
        <v>19.576059999999998</v>
      </c>
      <c r="V15" s="14">
        <v>2.6818</v>
      </c>
      <c r="W15" s="14">
        <v>16.894259999999999</v>
      </c>
      <c r="X15" s="11">
        <v>99</v>
      </c>
      <c r="Y15" s="10">
        <v>43274</v>
      </c>
      <c r="Z15" s="11">
        <v>123456789</v>
      </c>
      <c r="AA15" s="12" t="s">
        <v>102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v>0.19576059999999998</v>
      </c>
      <c r="AG15" s="11" t="s">
        <v>46</v>
      </c>
    </row>
    <row r="16" spans="1:33" x14ac:dyDescent="0.2">
      <c r="A16" s="8">
        <v>2492</v>
      </c>
      <c r="B16" s="9" t="s">
        <v>85</v>
      </c>
      <c r="C16" s="10">
        <v>43274</v>
      </c>
      <c r="D16" s="11">
        <v>27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103</v>
      </c>
      <c r="J16" s="12" t="s">
        <v>104</v>
      </c>
      <c r="K16" s="13" t="s">
        <v>40</v>
      </c>
      <c r="L16" s="11" t="str">
        <f>"000259"</f>
        <v>000259</v>
      </c>
      <c r="M16" s="10">
        <v>43153</v>
      </c>
      <c r="N16" s="11" t="str">
        <f>"000086"</f>
        <v>000086</v>
      </c>
      <c r="O16" s="10">
        <v>42671</v>
      </c>
      <c r="P16" s="11" t="str">
        <f>"000296"</f>
        <v>000296</v>
      </c>
      <c r="Q16" s="10">
        <v>42671</v>
      </c>
      <c r="R16" s="11">
        <v>16</v>
      </c>
      <c r="S16" s="11" t="str">
        <f>"002806"</f>
        <v>002806</v>
      </c>
      <c r="T16" s="10">
        <v>43271</v>
      </c>
      <c r="U16" s="14">
        <v>19.59891</v>
      </c>
      <c r="V16" s="14">
        <v>2.6848000000000001</v>
      </c>
      <c r="W16" s="14">
        <v>16.914110000000001</v>
      </c>
      <c r="X16" s="11">
        <v>99</v>
      </c>
      <c r="Y16" s="10">
        <v>43274</v>
      </c>
      <c r="Z16" s="11">
        <v>123456789</v>
      </c>
      <c r="AA16" s="12" t="s">
        <v>105</v>
      </c>
      <c r="AB16" s="11" t="s">
        <v>42</v>
      </c>
      <c r="AC16" s="12" t="s">
        <v>43</v>
      </c>
      <c r="AD16" s="11" t="s">
        <v>44</v>
      </c>
      <c r="AE16" s="12" t="s">
        <v>45</v>
      </c>
      <c r="AF16" s="14">
        <v>0.1959891</v>
      </c>
      <c r="AG16" s="11" t="s">
        <v>46</v>
      </c>
    </row>
    <row r="17" spans="1:33" x14ac:dyDescent="0.2">
      <c r="A17" s="8">
        <v>2689</v>
      </c>
      <c r="B17" s="9" t="s">
        <v>85</v>
      </c>
      <c r="C17" s="10">
        <v>43278</v>
      </c>
      <c r="D17" s="11">
        <v>27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106</v>
      </c>
      <c r="J17" s="12" t="s">
        <v>107</v>
      </c>
      <c r="K17" s="13" t="s">
        <v>40</v>
      </c>
      <c r="L17" s="11" t="str">
        <f>"000059"</f>
        <v>000059</v>
      </c>
      <c r="M17" s="10">
        <v>42548</v>
      </c>
      <c r="N17" s="11" t="str">
        <f>"000088"</f>
        <v>000088</v>
      </c>
      <c r="O17" s="10">
        <v>42671</v>
      </c>
      <c r="P17" s="11" t="str">
        <f>"000295"</f>
        <v>000295</v>
      </c>
      <c r="Q17" s="10">
        <v>42671</v>
      </c>
      <c r="R17" s="11">
        <v>16</v>
      </c>
      <c r="S17" s="11" t="str">
        <f>"003033"</f>
        <v>003033</v>
      </c>
      <c r="T17" s="10">
        <v>43277</v>
      </c>
      <c r="U17" s="14">
        <v>9.7632100000000008</v>
      </c>
      <c r="V17" s="14">
        <v>1.3468</v>
      </c>
      <c r="W17" s="14">
        <v>8.4164100000000008</v>
      </c>
      <c r="X17" s="11">
        <v>103</v>
      </c>
      <c r="Y17" s="10">
        <v>43278</v>
      </c>
      <c r="Z17" s="11">
        <v>123456789</v>
      </c>
      <c r="AA17" s="12" t="s">
        <v>108</v>
      </c>
      <c r="AB17" s="11" t="s">
        <v>42</v>
      </c>
      <c r="AC17" s="12" t="s">
        <v>43</v>
      </c>
      <c r="AD17" s="11" t="s">
        <v>44</v>
      </c>
      <c r="AE17" s="12" t="s">
        <v>45</v>
      </c>
      <c r="AF17" s="14">
        <v>9.7632100000000013E-2</v>
      </c>
      <c r="AG17" s="11" t="s">
        <v>46</v>
      </c>
    </row>
    <row r="18" spans="1:33" x14ac:dyDescent="0.2">
      <c r="A18" s="8">
        <v>3237</v>
      </c>
      <c r="B18" s="9" t="s">
        <v>109</v>
      </c>
      <c r="C18" s="10">
        <v>43293</v>
      </c>
      <c r="D18" s="11">
        <v>27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110</v>
      </c>
      <c r="J18" s="12" t="s">
        <v>111</v>
      </c>
      <c r="K18" s="13" t="s">
        <v>40</v>
      </c>
      <c r="L18" s="11" t="str">
        <f>"000253"</f>
        <v>000253</v>
      </c>
      <c r="M18" s="10">
        <v>43142</v>
      </c>
      <c r="N18" s="11" t="str">
        <f>"000033"</f>
        <v>000033</v>
      </c>
      <c r="O18" s="10">
        <v>43269</v>
      </c>
      <c r="P18" s="11" t="str">
        <f>"000071"</f>
        <v>000071</v>
      </c>
      <c r="Q18" s="10">
        <v>43269</v>
      </c>
      <c r="R18" s="11">
        <v>18</v>
      </c>
      <c r="S18" s="11" t="str">
        <f>"003562"</f>
        <v>003562</v>
      </c>
      <c r="T18" s="10">
        <v>43292</v>
      </c>
      <c r="U18" s="14">
        <v>39.920780000000001</v>
      </c>
      <c r="V18" s="14">
        <v>3.694</v>
      </c>
      <c r="W18" s="14">
        <v>36.226779999999998</v>
      </c>
      <c r="X18" s="11">
        <v>122</v>
      </c>
      <c r="Y18" s="10">
        <v>43293</v>
      </c>
      <c r="Z18" s="11">
        <v>123456789</v>
      </c>
      <c r="AA18" s="12" t="s">
        <v>112</v>
      </c>
      <c r="AB18" s="11" t="s">
        <v>71</v>
      </c>
      <c r="AC18" s="12" t="s">
        <v>72</v>
      </c>
      <c r="AD18" s="11" t="s">
        <v>44</v>
      </c>
      <c r="AE18" s="12" t="s">
        <v>45</v>
      </c>
      <c r="AF18" s="14">
        <v>0.3992078</v>
      </c>
      <c r="AG18" s="11" t="s">
        <v>73</v>
      </c>
    </row>
    <row r="19" spans="1:33" x14ac:dyDescent="0.2">
      <c r="A19" s="8">
        <v>3367</v>
      </c>
      <c r="B19" s="9" t="s">
        <v>109</v>
      </c>
      <c r="C19" s="10">
        <v>43298</v>
      </c>
      <c r="D19" s="11">
        <v>27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113</v>
      </c>
      <c r="J19" s="12" t="s">
        <v>114</v>
      </c>
      <c r="K19" s="13" t="s">
        <v>40</v>
      </c>
      <c r="L19" s="11" t="str">
        <f>"000041"</f>
        <v>000041</v>
      </c>
      <c r="M19" s="10">
        <v>43271</v>
      </c>
      <c r="N19" s="11" t="str">
        <f>"000034"</f>
        <v>000034</v>
      </c>
      <c r="O19" s="10">
        <v>43271</v>
      </c>
      <c r="P19" s="11" t="str">
        <f>"000079"</f>
        <v>000079</v>
      </c>
      <c r="Q19" s="10">
        <v>43271</v>
      </c>
      <c r="R19" s="11">
        <v>18</v>
      </c>
      <c r="S19" s="11" t="str">
        <f>"003442"</f>
        <v>003442</v>
      </c>
      <c r="T19" s="10">
        <v>43288</v>
      </c>
      <c r="U19" s="14">
        <v>14.957700000000001</v>
      </c>
      <c r="V19" s="14">
        <v>1.4504999999999999</v>
      </c>
      <c r="W19" s="14">
        <v>13.507199999999999</v>
      </c>
      <c r="X19" s="11">
        <v>126</v>
      </c>
      <c r="Y19" s="10">
        <v>43298</v>
      </c>
      <c r="Z19" s="11">
        <v>123456789</v>
      </c>
      <c r="AA19" s="12" t="s">
        <v>115</v>
      </c>
      <c r="AB19" s="11" t="s">
        <v>116</v>
      </c>
      <c r="AC19" s="12" t="s">
        <v>117</v>
      </c>
      <c r="AD19" s="11" t="s">
        <v>44</v>
      </c>
      <c r="AE19" s="12" t="s">
        <v>45</v>
      </c>
      <c r="AF19" s="14">
        <v>0.14957700000000002</v>
      </c>
      <c r="AG19" s="11" t="s">
        <v>118</v>
      </c>
    </row>
    <row r="20" spans="1:33" x14ac:dyDescent="0.2">
      <c r="A20" s="8">
        <v>3442</v>
      </c>
      <c r="B20" s="9" t="s">
        <v>109</v>
      </c>
      <c r="C20" s="10">
        <v>43299</v>
      </c>
      <c r="D20" s="11">
        <v>27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119</v>
      </c>
      <c r="J20" s="12" t="s">
        <v>120</v>
      </c>
      <c r="K20" s="13" t="s">
        <v>40</v>
      </c>
      <c r="L20" s="11" t="str">
        <f>"000054"</f>
        <v>000054</v>
      </c>
      <c r="M20" s="10">
        <v>41235</v>
      </c>
      <c r="N20" s="11" t="str">
        <f>"000104"</f>
        <v>000104</v>
      </c>
      <c r="O20" s="10">
        <v>43108</v>
      </c>
      <c r="P20" s="11" t="str">
        <f>"000093"</f>
        <v>000093</v>
      </c>
      <c r="Q20" s="10">
        <v>43108</v>
      </c>
      <c r="R20" s="11">
        <v>12</v>
      </c>
      <c r="S20" s="11" t="str">
        <f>"003721"</f>
        <v>003721</v>
      </c>
      <c r="T20" s="10">
        <v>43294</v>
      </c>
      <c r="U20" s="14">
        <v>3.8762799999999999</v>
      </c>
      <c r="V20" s="14">
        <v>0.52946000000000004</v>
      </c>
      <c r="W20" s="14">
        <v>3.3468200000000001</v>
      </c>
      <c r="X20" s="11">
        <v>127</v>
      </c>
      <c r="Y20" s="10">
        <v>43299</v>
      </c>
      <c r="Z20" s="11">
        <v>9880801223</v>
      </c>
      <c r="AA20" s="12" t="s">
        <v>121</v>
      </c>
      <c r="AB20" s="11" t="s">
        <v>122</v>
      </c>
      <c r="AC20" s="12" t="s">
        <v>123</v>
      </c>
      <c r="AD20" s="11" t="s">
        <v>83</v>
      </c>
      <c r="AE20" s="12" t="s">
        <v>84</v>
      </c>
      <c r="AF20" s="14">
        <v>3.87628E-2</v>
      </c>
      <c r="AG20" s="11" t="s">
        <v>46</v>
      </c>
    </row>
    <row r="21" spans="1:33" x14ac:dyDescent="0.2">
      <c r="A21" s="8">
        <v>3704</v>
      </c>
      <c r="B21" s="9" t="s">
        <v>109</v>
      </c>
      <c r="C21" s="10">
        <v>43301</v>
      </c>
      <c r="D21" s="11">
        <v>27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124</v>
      </c>
      <c r="J21" s="12" t="s">
        <v>125</v>
      </c>
      <c r="K21" s="13" t="s">
        <v>40</v>
      </c>
      <c r="L21" s="11" t="str">
        <f>"000128"</f>
        <v>000128</v>
      </c>
      <c r="M21" s="10">
        <v>43152</v>
      </c>
      <c r="N21" s="11" t="str">
        <f>"000172"</f>
        <v>000172</v>
      </c>
      <c r="O21" s="10">
        <v>43152</v>
      </c>
      <c r="P21" s="11" t="str">
        <f>"000161"</f>
        <v>000161</v>
      </c>
      <c r="Q21" s="10">
        <v>43152</v>
      </c>
      <c r="R21" s="11">
        <v>16</v>
      </c>
      <c r="S21" s="11" t="str">
        <f>"003947"</f>
        <v>003947</v>
      </c>
      <c r="T21" s="10">
        <v>43299</v>
      </c>
      <c r="U21" s="14">
        <v>11.08718</v>
      </c>
      <c r="V21" s="14">
        <v>0.86460000000000004</v>
      </c>
      <c r="W21" s="14">
        <v>10.222580000000001</v>
      </c>
      <c r="X21" s="11">
        <v>134</v>
      </c>
      <c r="Y21" s="10">
        <v>43301</v>
      </c>
      <c r="Z21" s="11">
        <v>9845036857</v>
      </c>
      <c r="AA21" s="12" t="s">
        <v>126</v>
      </c>
      <c r="AB21" s="11" t="s">
        <v>122</v>
      </c>
      <c r="AC21" s="12" t="s">
        <v>123</v>
      </c>
      <c r="AD21" s="11" t="s">
        <v>83</v>
      </c>
      <c r="AE21" s="12" t="s">
        <v>84</v>
      </c>
      <c r="AF21" s="14">
        <v>0.11087180000000001</v>
      </c>
      <c r="AG21" s="11" t="s">
        <v>46</v>
      </c>
    </row>
    <row r="22" spans="1:33" x14ac:dyDescent="0.2">
      <c r="A22" s="8">
        <v>3965</v>
      </c>
      <c r="B22" s="9" t="s">
        <v>109</v>
      </c>
      <c r="C22" s="10">
        <v>43307</v>
      </c>
      <c r="D22" s="11">
        <v>27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127</v>
      </c>
      <c r="J22" s="12" t="s">
        <v>128</v>
      </c>
      <c r="K22" s="13" t="s">
        <v>76</v>
      </c>
      <c r="L22" s="11" t="str">
        <f>"000055"</f>
        <v>000055</v>
      </c>
      <c r="M22" s="10">
        <v>42693</v>
      </c>
      <c r="N22" s="11" t="str">
        <f>"000082"</f>
        <v>000082</v>
      </c>
      <c r="O22" s="10">
        <v>42765</v>
      </c>
      <c r="P22" s="11" t="str">
        <f>"000035"</f>
        <v>000035</v>
      </c>
      <c r="Q22" s="10">
        <v>42881</v>
      </c>
      <c r="R22" s="11">
        <v>17</v>
      </c>
      <c r="S22" s="11" t="str">
        <f>"004049"</f>
        <v>004049</v>
      </c>
      <c r="T22" s="10">
        <v>43301</v>
      </c>
      <c r="U22" s="14">
        <v>19.9514</v>
      </c>
      <c r="V22" s="14">
        <v>3.1133700000000002</v>
      </c>
      <c r="W22" s="14">
        <v>16.83803</v>
      </c>
      <c r="X22" s="11">
        <v>142</v>
      </c>
      <c r="Y22" s="10">
        <v>43307</v>
      </c>
      <c r="Z22" s="11">
        <v>9740402579</v>
      </c>
      <c r="AA22" s="12" t="s">
        <v>129</v>
      </c>
      <c r="AB22" s="11" t="s">
        <v>42</v>
      </c>
      <c r="AC22" s="12" t="s">
        <v>43</v>
      </c>
      <c r="AD22" s="11" t="s">
        <v>55</v>
      </c>
      <c r="AE22" s="12" t="s">
        <v>56</v>
      </c>
      <c r="AF22" s="14">
        <v>0.199514</v>
      </c>
      <c r="AG22" s="11" t="s">
        <v>46</v>
      </c>
    </row>
    <row r="23" spans="1:33" x14ac:dyDescent="0.2">
      <c r="A23" s="8">
        <v>4388</v>
      </c>
      <c r="B23" s="9" t="s">
        <v>130</v>
      </c>
      <c r="C23" s="10">
        <v>43318</v>
      </c>
      <c r="D23" s="11">
        <v>27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131</v>
      </c>
      <c r="J23" s="12" t="s">
        <v>132</v>
      </c>
      <c r="K23" s="13" t="s">
        <v>69</v>
      </c>
      <c r="L23" s="11" t="str">
        <f>"000167"</f>
        <v>000167</v>
      </c>
      <c r="M23" s="10">
        <v>42734</v>
      </c>
      <c r="N23" s="11" t="str">
        <f>"000152"</f>
        <v>000152</v>
      </c>
      <c r="O23" s="10">
        <v>42789</v>
      </c>
      <c r="P23" s="11" t="str">
        <f>"000454"</f>
        <v>000454</v>
      </c>
      <c r="Q23" s="10">
        <v>42794</v>
      </c>
      <c r="R23" s="11">
        <v>15</v>
      </c>
      <c r="S23" s="11" t="str">
        <f>"004665"</f>
        <v>004665</v>
      </c>
      <c r="T23" s="10">
        <v>43313</v>
      </c>
      <c r="U23" s="14">
        <v>26.791170000000001</v>
      </c>
      <c r="V23" s="14">
        <v>1.50031</v>
      </c>
      <c r="W23" s="14">
        <v>25.290859999999999</v>
      </c>
      <c r="X23" s="11">
        <v>159</v>
      </c>
      <c r="Y23" s="10">
        <v>43318</v>
      </c>
      <c r="Z23" s="11">
        <v>8494946891</v>
      </c>
      <c r="AA23" s="12" t="s">
        <v>88</v>
      </c>
      <c r="AB23" s="11" t="s">
        <v>93</v>
      </c>
      <c r="AC23" s="12" t="s">
        <v>94</v>
      </c>
      <c r="AD23" s="11" t="s">
        <v>44</v>
      </c>
      <c r="AE23" s="12" t="s">
        <v>45</v>
      </c>
      <c r="AF23" s="14">
        <v>0.26791170000000003</v>
      </c>
      <c r="AG23" s="11" t="s">
        <v>46</v>
      </c>
    </row>
    <row r="24" spans="1:33" x14ac:dyDescent="0.2">
      <c r="A24" s="8">
        <v>4744</v>
      </c>
      <c r="B24" s="9" t="s">
        <v>130</v>
      </c>
      <c r="C24" s="10">
        <v>43326</v>
      </c>
      <c r="D24" s="11">
        <v>27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133</v>
      </c>
      <c r="J24" s="12" t="s">
        <v>134</v>
      </c>
      <c r="K24" s="13" t="s">
        <v>76</v>
      </c>
      <c r="L24" s="11" t="str">
        <f>"000013"</f>
        <v>000013</v>
      </c>
      <c r="M24" s="10">
        <v>42899</v>
      </c>
      <c r="N24" s="11" t="str">
        <f>"000006"</f>
        <v>000006</v>
      </c>
      <c r="O24" s="10">
        <v>42916</v>
      </c>
      <c r="P24" s="11" t="str">
        <f>"000010"</f>
        <v>000010</v>
      </c>
      <c r="Q24" s="10">
        <v>42916</v>
      </c>
      <c r="R24" s="11">
        <v>17</v>
      </c>
      <c r="S24" s="11" t="str">
        <f>"005110"</f>
        <v>005110</v>
      </c>
      <c r="T24" s="10">
        <v>43325</v>
      </c>
      <c r="U24" s="14">
        <v>29.980799999999999</v>
      </c>
      <c r="V24" s="14">
        <v>3.7376499999999999</v>
      </c>
      <c r="W24" s="14">
        <v>26.24315</v>
      </c>
      <c r="X24" s="11">
        <v>172</v>
      </c>
      <c r="Y24" s="10">
        <v>43326</v>
      </c>
      <c r="Z24" s="11">
        <v>8022975808</v>
      </c>
      <c r="AA24" s="12" t="s">
        <v>135</v>
      </c>
      <c r="AB24" s="11" t="s">
        <v>42</v>
      </c>
      <c r="AC24" s="12" t="s">
        <v>43</v>
      </c>
      <c r="AD24" s="11" t="s">
        <v>55</v>
      </c>
      <c r="AE24" s="12" t="s">
        <v>56</v>
      </c>
      <c r="AF24" s="14">
        <v>0.29980799999999996</v>
      </c>
      <c r="AG24" s="11" t="s">
        <v>46</v>
      </c>
    </row>
    <row r="25" spans="1:33" x14ac:dyDescent="0.2">
      <c r="A25" s="8">
        <v>4745</v>
      </c>
      <c r="B25" s="9" t="s">
        <v>130</v>
      </c>
      <c r="C25" s="10">
        <v>43326</v>
      </c>
      <c r="D25" s="11">
        <v>27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136</v>
      </c>
      <c r="J25" s="12" t="s">
        <v>137</v>
      </c>
      <c r="K25" s="13" t="s">
        <v>76</v>
      </c>
      <c r="L25" s="11" t="str">
        <f>"000-11"</f>
        <v>000-11</v>
      </c>
      <c r="M25" s="10">
        <v>42899</v>
      </c>
      <c r="N25" s="11" t="str">
        <f>"000007"</f>
        <v>000007</v>
      </c>
      <c r="O25" s="10">
        <v>42916</v>
      </c>
      <c r="P25" s="11" t="str">
        <f>"000011"</f>
        <v>000011</v>
      </c>
      <c r="Q25" s="10">
        <v>42916</v>
      </c>
      <c r="R25" s="11">
        <v>17</v>
      </c>
      <c r="S25" s="11" t="str">
        <f>"005111"</f>
        <v>005111</v>
      </c>
      <c r="T25" s="10">
        <v>43325</v>
      </c>
      <c r="U25" s="14">
        <v>29.991499999999998</v>
      </c>
      <c r="V25" s="14">
        <v>3.7389899999999998</v>
      </c>
      <c r="W25" s="14">
        <v>26.252510000000001</v>
      </c>
      <c r="X25" s="11">
        <v>172</v>
      </c>
      <c r="Y25" s="10">
        <v>43326</v>
      </c>
      <c r="Z25" s="11">
        <v>8022975808</v>
      </c>
      <c r="AA25" s="12" t="s">
        <v>138</v>
      </c>
      <c r="AB25" s="11" t="s">
        <v>42</v>
      </c>
      <c r="AC25" s="12" t="s">
        <v>43</v>
      </c>
      <c r="AD25" s="11" t="s">
        <v>55</v>
      </c>
      <c r="AE25" s="12" t="s">
        <v>56</v>
      </c>
      <c r="AF25" s="14">
        <v>0.29991499999999999</v>
      </c>
      <c r="AG25" s="11" t="s">
        <v>46</v>
      </c>
    </row>
    <row r="26" spans="1:33" x14ac:dyDescent="0.2">
      <c r="A26" s="8">
        <v>4746</v>
      </c>
      <c r="B26" s="9" t="s">
        <v>130</v>
      </c>
      <c r="C26" s="10">
        <v>43326</v>
      </c>
      <c r="D26" s="11">
        <v>27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139</v>
      </c>
      <c r="J26" s="12" t="s">
        <v>140</v>
      </c>
      <c r="K26" s="13" t="s">
        <v>76</v>
      </c>
      <c r="L26" s="11" t="str">
        <f>"000014"</f>
        <v>000014</v>
      </c>
      <c r="M26" s="10">
        <v>42899</v>
      </c>
      <c r="N26" s="11" t="str">
        <f>"000005"</f>
        <v>000005</v>
      </c>
      <c r="O26" s="10">
        <v>42916</v>
      </c>
      <c r="P26" s="11" t="str">
        <f>"000012"</f>
        <v>000012</v>
      </c>
      <c r="Q26" s="10">
        <v>42916</v>
      </c>
      <c r="R26" s="11">
        <v>17</v>
      </c>
      <c r="S26" s="11" t="str">
        <f>"005112"</f>
        <v>005112</v>
      </c>
      <c r="T26" s="10">
        <v>43325</v>
      </c>
      <c r="U26" s="14">
        <v>19.994869999999999</v>
      </c>
      <c r="V26" s="14">
        <v>2.50935</v>
      </c>
      <c r="W26" s="14">
        <v>17.485520000000001</v>
      </c>
      <c r="X26" s="11">
        <v>172</v>
      </c>
      <c r="Y26" s="10">
        <v>43326</v>
      </c>
      <c r="Z26" s="11">
        <v>8022975808</v>
      </c>
      <c r="AA26" s="12" t="s">
        <v>141</v>
      </c>
      <c r="AB26" s="11" t="s">
        <v>42</v>
      </c>
      <c r="AC26" s="12" t="s">
        <v>43</v>
      </c>
      <c r="AD26" s="11" t="s">
        <v>55</v>
      </c>
      <c r="AE26" s="12" t="s">
        <v>56</v>
      </c>
      <c r="AF26" s="14">
        <v>0.19994869999999998</v>
      </c>
      <c r="AG26" s="11" t="s">
        <v>46</v>
      </c>
    </row>
    <row r="27" spans="1:33" x14ac:dyDescent="0.2">
      <c r="A27" s="8">
        <v>4747</v>
      </c>
      <c r="B27" s="9" t="s">
        <v>130</v>
      </c>
      <c r="C27" s="10">
        <v>43326</v>
      </c>
      <c r="D27" s="11">
        <v>27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142</v>
      </c>
      <c r="J27" s="12" t="s">
        <v>143</v>
      </c>
      <c r="K27" s="13" t="s">
        <v>76</v>
      </c>
      <c r="L27" s="11" t="str">
        <f>"000-13"</f>
        <v>000-13</v>
      </c>
      <c r="M27" s="10">
        <v>42899</v>
      </c>
      <c r="N27" s="11" t="str">
        <f>"000004"</f>
        <v>000004</v>
      </c>
      <c r="O27" s="10">
        <v>42916</v>
      </c>
      <c r="P27" s="11" t="str">
        <f>"000013"</f>
        <v>000013</v>
      </c>
      <c r="Q27" s="10">
        <v>42916</v>
      </c>
      <c r="R27" s="11">
        <v>17</v>
      </c>
      <c r="S27" s="11" t="str">
        <f>"005114"</f>
        <v>005114</v>
      </c>
      <c r="T27" s="10">
        <v>43325</v>
      </c>
      <c r="U27" s="14">
        <v>19.982890000000001</v>
      </c>
      <c r="V27" s="14">
        <v>2.5078499999999999</v>
      </c>
      <c r="W27" s="14">
        <v>17.47504</v>
      </c>
      <c r="X27" s="11">
        <v>172</v>
      </c>
      <c r="Y27" s="10">
        <v>43326</v>
      </c>
      <c r="Z27" s="11">
        <v>8022975808</v>
      </c>
      <c r="AA27" s="12" t="s">
        <v>135</v>
      </c>
      <c r="AB27" s="11" t="s">
        <v>42</v>
      </c>
      <c r="AC27" s="12" t="s">
        <v>43</v>
      </c>
      <c r="AD27" s="11" t="s">
        <v>55</v>
      </c>
      <c r="AE27" s="12" t="s">
        <v>56</v>
      </c>
      <c r="AF27" s="14">
        <v>0.1998289</v>
      </c>
      <c r="AG27" s="11" t="s">
        <v>46</v>
      </c>
    </row>
    <row r="28" spans="1:33" x14ac:dyDescent="0.2">
      <c r="A28" s="8">
        <v>4958</v>
      </c>
      <c r="B28" s="9" t="s">
        <v>130</v>
      </c>
      <c r="C28" s="10">
        <v>43330</v>
      </c>
      <c r="D28" s="11">
        <v>27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144</v>
      </c>
      <c r="J28" s="12" t="s">
        <v>145</v>
      </c>
      <c r="K28" s="13" t="s">
        <v>40</v>
      </c>
      <c r="L28" s="11" t="str">
        <f>"000120"</f>
        <v>000120</v>
      </c>
      <c r="M28" s="10">
        <v>43004</v>
      </c>
      <c r="N28" s="11" t="str">
        <f>"000036"</f>
        <v>000036</v>
      </c>
      <c r="O28" s="10">
        <v>43272</v>
      </c>
      <c r="P28" s="11" t="str">
        <f>"000082"</f>
        <v>000082</v>
      </c>
      <c r="Q28" s="10">
        <v>43272</v>
      </c>
      <c r="R28" s="11">
        <v>17</v>
      </c>
      <c r="S28" s="11" t="str">
        <f>"005100"</f>
        <v>005100</v>
      </c>
      <c r="T28" s="10">
        <v>43325</v>
      </c>
      <c r="U28" s="14">
        <v>5.2548000000000004</v>
      </c>
      <c r="V28" s="14">
        <v>0.17899999999999999</v>
      </c>
      <c r="W28" s="14">
        <v>5.0758000000000001</v>
      </c>
      <c r="X28" s="11">
        <v>173</v>
      </c>
      <c r="Y28" s="10">
        <v>43330</v>
      </c>
      <c r="Z28" s="11">
        <v>123456789</v>
      </c>
      <c r="AA28" s="12" t="s">
        <v>146</v>
      </c>
      <c r="AB28" s="11" t="s">
        <v>147</v>
      </c>
      <c r="AC28" s="12" t="s">
        <v>148</v>
      </c>
      <c r="AD28" s="11" t="s">
        <v>44</v>
      </c>
      <c r="AE28" s="12" t="s">
        <v>45</v>
      </c>
      <c r="AF28" s="14">
        <v>5.2548000000000004E-2</v>
      </c>
      <c r="AG28" s="11" t="s">
        <v>73</v>
      </c>
    </row>
    <row r="29" spans="1:33" x14ac:dyDescent="0.2">
      <c r="A29" s="8">
        <v>4959</v>
      </c>
      <c r="B29" s="9" t="s">
        <v>130</v>
      </c>
      <c r="C29" s="10">
        <v>43330</v>
      </c>
      <c r="D29" s="11">
        <v>27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149</v>
      </c>
      <c r="J29" s="12" t="s">
        <v>150</v>
      </c>
      <c r="K29" s="13" t="s">
        <v>69</v>
      </c>
      <c r="L29" s="11" t="str">
        <f>"000203"</f>
        <v>000203</v>
      </c>
      <c r="M29" s="10">
        <v>42800</v>
      </c>
      <c r="N29" s="11" t="str">
        <f>"000180"</f>
        <v>000180</v>
      </c>
      <c r="O29" s="10">
        <v>42825</v>
      </c>
      <c r="P29" s="11" t="str">
        <f>"000525"</f>
        <v>000525</v>
      </c>
      <c r="Q29" s="10">
        <v>42825</v>
      </c>
      <c r="R29" s="11">
        <v>17</v>
      </c>
      <c r="S29" s="11" t="str">
        <f>"005193"</f>
        <v>005193</v>
      </c>
      <c r="T29" s="10">
        <v>43326</v>
      </c>
      <c r="U29" s="14">
        <v>9.7143800000000002</v>
      </c>
      <c r="V29" s="14">
        <v>0.71686000000000005</v>
      </c>
      <c r="W29" s="14">
        <v>8.9975199999999997</v>
      </c>
      <c r="X29" s="11">
        <v>174</v>
      </c>
      <c r="Y29" s="10">
        <v>43330</v>
      </c>
      <c r="Z29" s="11">
        <v>8660556503</v>
      </c>
      <c r="AA29" s="12" t="s">
        <v>151</v>
      </c>
      <c r="AB29" s="11" t="s">
        <v>89</v>
      </c>
      <c r="AC29" s="12" t="s">
        <v>90</v>
      </c>
      <c r="AD29" s="11" t="s">
        <v>44</v>
      </c>
      <c r="AE29" s="12" t="s">
        <v>45</v>
      </c>
      <c r="AF29" s="14">
        <v>9.7143800000000002E-2</v>
      </c>
      <c r="AG29" s="11" t="s">
        <v>46</v>
      </c>
    </row>
    <row r="30" spans="1:33" x14ac:dyDescent="0.2">
      <c r="A30" s="8">
        <v>5042</v>
      </c>
      <c r="B30" s="9" t="s">
        <v>130</v>
      </c>
      <c r="C30" s="10">
        <v>43335</v>
      </c>
      <c r="D30" s="11">
        <v>27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152</v>
      </c>
      <c r="J30" s="12" t="s">
        <v>153</v>
      </c>
      <c r="K30" s="13" t="s">
        <v>40</v>
      </c>
      <c r="L30" s="11" t="str">
        <f>"000083"</f>
        <v>000083</v>
      </c>
      <c r="M30" s="10">
        <v>43326</v>
      </c>
      <c r="N30" s="11" t="str">
        <f>"000072"</f>
        <v>000072</v>
      </c>
      <c r="O30" s="10">
        <v>43326</v>
      </c>
      <c r="P30" s="11" t="str">
        <f>"000151"</f>
        <v>000151</v>
      </c>
      <c r="Q30" s="10">
        <v>43326</v>
      </c>
      <c r="R30" s="11">
        <v>18</v>
      </c>
      <c r="S30" s="11" t="str">
        <f>"005353"</f>
        <v>005353</v>
      </c>
      <c r="T30" s="10">
        <v>43335</v>
      </c>
      <c r="U30" s="14">
        <v>29.98143</v>
      </c>
      <c r="V30" s="14">
        <v>2.6949999999999998</v>
      </c>
      <c r="W30" s="14">
        <v>27.286429999999999</v>
      </c>
      <c r="X30" s="11">
        <v>178</v>
      </c>
      <c r="Y30" s="10">
        <v>43335</v>
      </c>
      <c r="Z30" s="11">
        <v>123456789</v>
      </c>
      <c r="AA30" s="12" t="s">
        <v>154</v>
      </c>
      <c r="AB30" s="11" t="s">
        <v>71</v>
      </c>
      <c r="AC30" s="12" t="s">
        <v>72</v>
      </c>
      <c r="AD30" s="11" t="s">
        <v>44</v>
      </c>
      <c r="AE30" s="12" t="s">
        <v>45</v>
      </c>
      <c r="AF30" s="14">
        <v>0.29981429999999998</v>
      </c>
      <c r="AG30" s="11" t="s">
        <v>118</v>
      </c>
    </row>
    <row r="31" spans="1:33" x14ac:dyDescent="0.2">
      <c r="A31" s="8">
        <v>5043</v>
      </c>
      <c r="B31" s="9" t="s">
        <v>130</v>
      </c>
      <c r="C31" s="10">
        <v>43335</v>
      </c>
      <c r="D31" s="11">
        <v>27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155</v>
      </c>
      <c r="J31" s="12" t="s">
        <v>156</v>
      </c>
      <c r="K31" s="13" t="s">
        <v>40</v>
      </c>
      <c r="L31" s="11" t="str">
        <f>"000082"</f>
        <v>000082</v>
      </c>
      <c r="M31" s="10">
        <v>43326</v>
      </c>
      <c r="N31" s="11" t="str">
        <f>"000071"</f>
        <v>000071</v>
      </c>
      <c r="O31" s="10">
        <v>43326</v>
      </c>
      <c r="P31" s="11" t="str">
        <f>"000152"</f>
        <v>000152</v>
      </c>
      <c r="Q31" s="10">
        <v>43326</v>
      </c>
      <c r="R31" s="11">
        <v>18</v>
      </c>
      <c r="S31" s="11" t="str">
        <f>"005354"</f>
        <v>005354</v>
      </c>
      <c r="T31" s="10">
        <v>43335</v>
      </c>
      <c r="U31" s="14">
        <v>19.989650000000001</v>
      </c>
      <c r="V31" s="14">
        <v>1.7985</v>
      </c>
      <c r="W31" s="14">
        <v>18.19115</v>
      </c>
      <c r="X31" s="11">
        <v>178</v>
      </c>
      <c r="Y31" s="10">
        <v>43335</v>
      </c>
      <c r="Z31" s="11">
        <v>123456789</v>
      </c>
      <c r="AA31" s="12" t="s">
        <v>154</v>
      </c>
      <c r="AB31" s="11" t="s">
        <v>71</v>
      </c>
      <c r="AC31" s="12" t="s">
        <v>72</v>
      </c>
      <c r="AD31" s="11" t="s">
        <v>44</v>
      </c>
      <c r="AE31" s="12" t="s">
        <v>45</v>
      </c>
      <c r="AF31" s="14">
        <v>0.1998965</v>
      </c>
      <c r="AG31" s="11" t="s">
        <v>118</v>
      </c>
    </row>
    <row r="32" spans="1:33" x14ac:dyDescent="0.2">
      <c r="A32" s="8">
        <v>5076</v>
      </c>
      <c r="B32" s="9" t="s">
        <v>130</v>
      </c>
      <c r="C32" s="10">
        <v>43337</v>
      </c>
      <c r="D32" s="11">
        <v>27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157</v>
      </c>
      <c r="J32" s="12" t="s">
        <v>158</v>
      </c>
      <c r="K32" s="13" t="s">
        <v>159</v>
      </c>
      <c r="L32" s="11" t="str">
        <f>"000102"</f>
        <v>000102</v>
      </c>
      <c r="M32" s="10">
        <v>42993</v>
      </c>
      <c r="N32" s="11" t="str">
        <f>"000031"</f>
        <v>000031</v>
      </c>
      <c r="O32" s="10">
        <v>43266</v>
      </c>
      <c r="P32" s="11" t="str">
        <f>"000075"</f>
        <v>000075</v>
      </c>
      <c r="Q32" s="10">
        <v>43269</v>
      </c>
      <c r="R32" s="11">
        <v>17</v>
      </c>
      <c r="S32" s="11" t="str">
        <f>"005386"</f>
        <v>005386</v>
      </c>
      <c r="T32" s="10">
        <v>43337</v>
      </c>
      <c r="U32" s="14">
        <v>9.6329999999999991</v>
      </c>
      <c r="V32" s="14">
        <v>0.40100000000000002</v>
      </c>
      <c r="W32" s="14">
        <v>9.2319999999999993</v>
      </c>
      <c r="X32" s="11">
        <v>180</v>
      </c>
      <c r="Y32" s="10">
        <v>43337</v>
      </c>
      <c r="Z32" s="11">
        <v>123456789</v>
      </c>
      <c r="AA32" s="12" t="s">
        <v>160</v>
      </c>
      <c r="AB32" s="11" t="s">
        <v>89</v>
      </c>
      <c r="AC32" s="12" t="s">
        <v>90</v>
      </c>
      <c r="AD32" s="11" t="s">
        <v>44</v>
      </c>
      <c r="AE32" s="12" t="s">
        <v>45</v>
      </c>
      <c r="AF32" s="14">
        <v>9.6329999999999985E-2</v>
      </c>
      <c r="AG32" s="11" t="s">
        <v>73</v>
      </c>
    </row>
    <row r="33" spans="1:33" x14ac:dyDescent="0.2">
      <c r="A33" s="8">
        <v>5603</v>
      </c>
      <c r="B33" s="9" t="s">
        <v>161</v>
      </c>
      <c r="C33" s="10">
        <v>43370</v>
      </c>
      <c r="D33" s="11">
        <v>27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162</v>
      </c>
      <c r="J33" s="12" t="s">
        <v>163</v>
      </c>
      <c r="K33" s="13" t="s">
        <v>40</v>
      </c>
      <c r="L33" s="11" t="str">
        <f>"000328"</f>
        <v>000328</v>
      </c>
      <c r="M33" s="10">
        <v>43183</v>
      </c>
      <c r="N33" s="11" t="str">
        <f>"000050"</f>
        <v>000050</v>
      </c>
      <c r="O33" s="10">
        <v>43299</v>
      </c>
      <c r="P33" s="11" t="str">
        <f>"000125"</f>
        <v>000125</v>
      </c>
      <c r="Q33" s="10">
        <v>43299</v>
      </c>
      <c r="R33" s="11">
        <v>18</v>
      </c>
      <c r="S33" s="11" t="str">
        <f>"005912"</f>
        <v>005912</v>
      </c>
      <c r="T33" s="10">
        <v>43368</v>
      </c>
      <c r="U33" s="14">
        <v>19.880199999999999</v>
      </c>
      <c r="V33" s="14">
        <v>1.8029999999999999</v>
      </c>
      <c r="W33" s="14">
        <v>18.077200000000001</v>
      </c>
      <c r="X33" s="11">
        <v>213</v>
      </c>
      <c r="Y33" s="10">
        <v>43370</v>
      </c>
      <c r="Z33" s="11">
        <v>9638527140</v>
      </c>
      <c r="AA33" s="12" t="s">
        <v>164</v>
      </c>
      <c r="AB33" s="11" t="s">
        <v>116</v>
      </c>
      <c r="AC33" s="12" t="s">
        <v>117</v>
      </c>
      <c r="AD33" s="11" t="s">
        <v>44</v>
      </c>
      <c r="AE33" s="12" t="s">
        <v>45</v>
      </c>
      <c r="AF33" s="14">
        <f t="shared" ref="AF33:AF52" si="0">U33/100</f>
        <v>0.19880199999999998</v>
      </c>
      <c r="AG33" s="11" t="s">
        <v>73</v>
      </c>
    </row>
    <row r="34" spans="1:33" x14ac:dyDescent="0.2">
      <c r="A34" s="8">
        <v>5604</v>
      </c>
      <c r="B34" s="9" t="s">
        <v>161</v>
      </c>
      <c r="C34" s="10">
        <v>43370</v>
      </c>
      <c r="D34" s="11">
        <v>27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165</v>
      </c>
      <c r="J34" s="12" t="s">
        <v>163</v>
      </c>
      <c r="K34" s="13" t="s">
        <v>40</v>
      </c>
      <c r="L34" s="11" t="str">
        <f>"000067"</f>
        <v>000067</v>
      </c>
      <c r="M34" s="10">
        <v>43299</v>
      </c>
      <c r="N34" s="11" t="str">
        <f>"000051"</f>
        <v>000051</v>
      </c>
      <c r="O34" s="10">
        <v>43299</v>
      </c>
      <c r="P34" s="11" t="str">
        <f>"000126"</f>
        <v>000126</v>
      </c>
      <c r="Q34" s="10">
        <v>43299</v>
      </c>
      <c r="R34" s="11">
        <v>18</v>
      </c>
      <c r="S34" s="11" t="str">
        <f>"005913"</f>
        <v>005913</v>
      </c>
      <c r="T34" s="10">
        <v>43368</v>
      </c>
      <c r="U34" s="14">
        <v>19.99615</v>
      </c>
      <c r="V34" s="14">
        <v>1.8925000000000001</v>
      </c>
      <c r="W34" s="14">
        <v>18.103649999999998</v>
      </c>
      <c r="X34" s="11">
        <v>213</v>
      </c>
      <c r="Y34" s="10">
        <v>43370</v>
      </c>
      <c r="Z34" s="11">
        <v>123456789</v>
      </c>
      <c r="AA34" s="12" t="s">
        <v>166</v>
      </c>
      <c r="AB34" s="11" t="s">
        <v>116</v>
      </c>
      <c r="AC34" s="12" t="s">
        <v>117</v>
      </c>
      <c r="AD34" s="11" t="s">
        <v>44</v>
      </c>
      <c r="AE34" s="12" t="s">
        <v>45</v>
      </c>
      <c r="AF34" s="14">
        <f t="shared" si="0"/>
        <v>0.19996150000000001</v>
      </c>
      <c r="AG34" s="11" t="s">
        <v>118</v>
      </c>
    </row>
    <row r="35" spans="1:33" x14ac:dyDescent="0.2">
      <c r="A35" s="8">
        <v>5605</v>
      </c>
      <c r="B35" s="9" t="s">
        <v>161</v>
      </c>
      <c r="C35" s="10">
        <v>43370</v>
      </c>
      <c r="D35" s="11">
        <v>27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167</v>
      </c>
      <c r="J35" s="12" t="s">
        <v>168</v>
      </c>
      <c r="K35" s="13" t="s">
        <v>40</v>
      </c>
      <c r="L35" s="11" t="str">
        <f>"000226"</f>
        <v>000226</v>
      </c>
      <c r="M35" s="10">
        <v>42817</v>
      </c>
      <c r="N35" s="11" t="str">
        <f>"000017"</f>
        <v>000017</v>
      </c>
      <c r="O35" s="10">
        <v>42842</v>
      </c>
      <c r="P35" s="11" t="str">
        <f>"000001"</f>
        <v>000001</v>
      </c>
      <c r="Q35" s="10">
        <v>42842</v>
      </c>
      <c r="R35" s="11">
        <v>17</v>
      </c>
      <c r="S35" s="11" t="str">
        <f>"005841"</f>
        <v>005841</v>
      </c>
      <c r="T35" s="10">
        <v>43363</v>
      </c>
      <c r="U35" s="14">
        <v>9.6219800000000006</v>
      </c>
      <c r="V35" s="14">
        <v>0.71099999999999997</v>
      </c>
      <c r="W35" s="14">
        <v>8.9109800000000003</v>
      </c>
      <c r="X35" s="11">
        <v>217</v>
      </c>
      <c r="Y35" s="10">
        <v>43370</v>
      </c>
      <c r="Z35" s="11">
        <v>123456789</v>
      </c>
      <c r="AA35" s="12" t="s">
        <v>169</v>
      </c>
      <c r="AB35" s="11" t="s">
        <v>89</v>
      </c>
      <c r="AC35" s="12" t="s">
        <v>90</v>
      </c>
      <c r="AD35" s="11" t="s">
        <v>44</v>
      </c>
      <c r="AE35" s="12" t="s">
        <v>45</v>
      </c>
      <c r="AF35" s="14">
        <f t="shared" si="0"/>
        <v>9.6219800000000008E-2</v>
      </c>
      <c r="AG35" s="11" t="s">
        <v>46</v>
      </c>
    </row>
    <row r="36" spans="1:33" x14ac:dyDescent="0.2">
      <c r="A36" s="8">
        <v>5606</v>
      </c>
      <c r="B36" s="9" t="s">
        <v>161</v>
      </c>
      <c r="C36" s="10">
        <v>43370</v>
      </c>
      <c r="D36" s="11">
        <v>27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170</v>
      </c>
      <c r="J36" s="12" t="s">
        <v>171</v>
      </c>
      <c r="K36" s="13" t="s">
        <v>69</v>
      </c>
      <c r="L36" s="11" t="str">
        <f>"000212"</f>
        <v>000212</v>
      </c>
      <c r="M36" s="10">
        <v>42800</v>
      </c>
      <c r="N36" s="11" t="str">
        <f>"000182"</f>
        <v>000182</v>
      </c>
      <c r="O36" s="10">
        <v>42825</v>
      </c>
      <c r="P36" s="11" t="str">
        <f>"000062"</f>
        <v>000062</v>
      </c>
      <c r="Q36" s="10">
        <v>42849</v>
      </c>
      <c r="R36" s="11">
        <v>17</v>
      </c>
      <c r="S36" s="11" t="str">
        <f>"005851"</f>
        <v>005851</v>
      </c>
      <c r="T36" s="10">
        <v>43363</v>
      </c>
      <c r="U36" s="14">
        <v>14.92</v>
      </c>
      <c r="V36" s="14">
        <v>1.1074200000000001</v>
      </c>
      <c r="W36" s="14">
        <v>13.812580000000001</v>
      </c>
      <c r="X36" s="11">
        <v>217</v>
      </c>
      <c r="Y36" s="10">
        <v>43370</v>
      </c>
      <c r="Z36" s="11">
        <v>9880969199</v>
      </c>
      <c r="AA36" s="12" t="s">
        <v>172</v>
      </c>
      <c r="AB36" s="11" t="s">
        <v>89</v>
      </c>
      <c r="AC36" s="12" t="s">
        <v>90</v>
      </c>
      <c r="AD36" s="11" t="s">
        <v>44</v>
      </c>
      <c r="AE36" s="12" t="s">
        <v>45</v>
      </c>
      <c r="AF36" s="14">
        <f t="shared" si="0"/>
        <v>0.1492</v>
      </c>
      <c r="AG36" s="11" t="s">
        <v>46</v>
      </c>
    </row>
    <row r="37" spans="1:33" x14ac:dyDescent="0.2">
      <c r="A37" s="8">
        <v>5607</v>
      </c>
      <c r="B37" s="9" t="s">
        <v>161</v>
      </c>
      <c r="C37" s="10">
        <v>43370</v>
      </c>
      <c r="D37" s="11">
        <v>27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173</v>
      </c>
      <c r="J37" s="12" t="s">
        <v>174</v>
      </c>
      <c r="K37" s="13" t="s">
        <v>69</v>
      </c>
      <c r="L37" s="11" t="str">
        <f>"000222"</f>
        <v>000222</v>
      </c>
      <c r="M37" s="10">
        <v>42804</v>
      </c>
      <c r="N37" s="11" t="str">
        <f>"000001"</f>
        <v>000001</v>
      </c>
      <c r="O37" s="10">
        <v>42836</v>
      </c>
      <c r="P37" s="11" t="str">
        <f>"000063"</f>
        <v>000063</v>
      </c>
      <c r="Q37" s="10">
        <v>42849</v>
      </c>
      <c r="R37" s="11">
        <v>17</v>
      </c>
      <c r="S37" s="11" t="str">
        <f>"005852"</f>
        <v>005852</v>
      </c>
      <c r="T37" s="10">
        <v>43363</v>
      </c>
      <c r="U37" s="14">
        <v>13.9415</v>
      </c>
      <c r="V37" s="14">
        <v>1.03529</v>
      </c>
      <c r="W37" s="14">
        <v>12.90621</v>
      </c>
      <c r="X37" s="11">
        <v>217</v>
      </c>
      <c r="Y37" s="10">
        <v>43370</v>
      </c>
      <c r="Z37" s="11">
        <v>9880969199</v>
      </c>
      <c r="AA37" s="12" t="s">
        <v>172</v>
      </c>
      <c r="AB37" s="11" t="s">
        <v>89</v>
      </c>
      <c r="AC37" s="12" t="s">
        <v>90</v>
      </c>
      <c r="AD37" s="11" t="s">
        <v>44</v>
      </c>
      <c r="AE37" s="12" t="s">
        <v>45</v>
      </c>
      <c r="AF37" s="14">
        <f t="shared" si="0"/>
        <v>0.13941499999999998</v>
      </c>
      <c r="AG37" s="11" t="s">
        <v>46</v>
      </c>
    </row>
    <row r="38" spans="1:33" x14ac:dyDescent="0.2">
      <c r="A38" s="8">
        <v>5608</v>
      </c>
      <c r="B38" s="9" t="s">
        <v>161</v>
      </c>
      <c r="C38" s="10">
        <v>43370</v>
      </c>
      <c r="D38" s="11">
        <v>27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175</v>
      </c>
      <c r="J38" s="12" t="s">
        <v>176</v>
      </c>
      <c r="K38" s="13" t="s">
        <v>40</v>
      </c>
      <c r="L38" s="11" t="str">
        <f>"000210"</f>
        <v>000210</v>
      </c>
      <c r="M38" s="10">
        <v>42800</v>
      </c>
      <c r="N38" s="11" t="str">
        <f>"000183"</f>
        <v>000183</v>
      </c>
      <c r="O38" s="10">
        <v>42825</v>
      </c>
      <c r="P38" s="11" t="str">
        <f>"000064"</f>
        <v>000064</v>
      </c>
      <c r="Q38" s="10">
        <v>42849</v>
      </c>
      <c r="R38" s="11">
        <v>17</v>
      </c>
      <c r="S38" s="11" t="str">
        <f>"005853"</f>
        <v>005853</v>
      </c>
      <c r="T38" s="10">
        <v>43363</v>
      </c>
      <c r="U38" s="14">
        <v>17.63579</v>
      </c>
      <c r="V38" s="14">
        <v>1.3098799999999999</v>
      </c>
      <c r="W38" s="14">
        <v>16.32591</v>
      </c>
      <c r="X38" s="11">
        <v>217</v>
      </c>
      <c r="Y38" s="10">
        <v>43370</v>
      </c>
      <c r="Z38" s="11">
        <v>9880969199</v>
      </c>
      <c r="AA38" s="12" t="s">
        <v>172</v>
      </c>
      <c r="AB38" s="11" t="s">
        <v>89</v>
      </c>
      <c r="AC38" s="12" t="s">
        <v>90</v>
      </c>
      <c r="AD38" s="11" t="s">
        <v>44</v>
      </c>
      <c r="AE38" s="12" t="s">
        <v>45</v>
      </c>
      <c r="AF38" s="14">
        <f t="shared" si="0"/>
        <v>0.17635790000000001</v>
      </c>
      <c r="AG38" s="11" t="s">
        <v>46</v>
      </c>
    </row>
    <row r="39" spans="1:33" x14ac:dyDescent="0.2">
      <c r="A39" s="8">
        <v>5609</v>
      </c>
      <c r="B39" s="9" t="s">
        <v>161</v>
      </c>
      <c r="C39" s="10">
        <v>43370</v>
      </c>
      <c r="D39" s="11">
        <v>27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177</v>
      </c>
      <c r="J39" s="12" t="s">
        <v>178</v>
      </c>
      <c r="K39" s="13" t="s">
        <v>76</v>
      </c>
      <c r="L39" s="11" t="str">
        <f>"000027"</f>
        <v>000027</v>
      </c>
      <c r="M39" s="10">
        <v>42973</v>
      </c>
      <c r="N39" s="11" t="str">
        <f>"000043"</f>
        <v>000043</v>
      </c>
      <c r="O39" s="10">
        <v>42996</v>
      </c>
      <c r="P39" s="11" t="str">
        <f>"000032"</f>
        <v>000032</v>
      </c>
      <c r="Q39" s="10">
        <v>42996</v>
      </c>
      <c r="R39" s="11">
        <v>16</v>
      </c>
      <c r="S39" s="11" t="str">
        <f>"005974"</f>
        <v>005974</v>
      </c>
      <c r="T39" s="10">
        <v>43368</v>
      </c>
      <c r="U39" s="14">
        <v>7.2705500000000001</v>
      </c>
      <c r="V39" s="14">
        <v>0.97404999999999997</v>
      </c>
      <c r="W39" s="14">
        <v>6.2965</v>
      </c>
      <c r="X39" s="11">
        <v>219</v>
      </c>
      <c r="Y39" s="10">
        <v>43370</v>
      </c>
      <c r="Z39" s="11">
        <v>8904148945</v>
      </c>
      <c r="AA39" s="12" t="s">
        <v>179</v>
      </c>
      <c r="AB39" s="11" t="s">
        <v>180</v>
      </c>
      <c r="AC39" s="12" t="s">
        <v>181</v>
      </c>
      <c r="AD39" s="11" t="s">
        <v>83</v>
      </c>
      <c r="AE39" s="12" t="s">
        <v>84</v>
      </c>
      <c r="AF39" s="14">
        <f t="shared" si="0"/>
        <v>7.2705500000000006E-2</v>
      </c>
      <c r="AG39" s="11" t="s">
        <v>46</v>
      </c>
    </row>
    <row r="40" spans="1:33" x14ac:dyDescent="0.2">
      <c r="A40" s="8">
        <v>7309</v>
      </c>
      <c r="B40" s="9" t="s">
        <v>182</v>
      </c>
      <c r="C40" s="10">
        <v>43424</v>
      </c>
      <c r="D40" s="11">
        <v>27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183</v>
      </c>
      <c r="J40" s="12" t="s">
        <v>184</v>
      </c>
      <c r="K40" s="13" t="s">
        <v>185</v>
      </c>
      <c r="L40" s="11" t="str">
        <f>"000017"</f>
        <v>000017</v>
      </c>
      <c r="M40" s="10">
        <v>43238</v>
      </c>
      <c r="N40" s="11" t="str">
        <f>"000018"</f>
        <v>000018</v>
      </c>
      <c r="O40" s="10">
        <v>43238</v>
      </c>
      <c r="P40" s="11" t="str">
        <f>"000038"</f>
        <v>000038</v>
      </c>
      <c r="Q40" s="10">
        <v>43238</v>
      </c>
      <c r="R40" s="11">
        <v>18</v>
      </c>
      <c r="S40" s="11" t="str">
        <f>"007218"</f>
        <v>007218</v>
      </c>
      <c r="T40" s="10">
        <v>43404</v>
      </c>
      <c r="U40" s="14">
        <v>19.47475</v>
      </c>
      <c r="V40" s="14">
        <v>1.8115000000000001</v>
      </c>
      <c r="W40" s="14">
        <v>17.663250000000001</v>
      </c>
      <c r="X40" s="11">
        <v>271</v>
      </c>
      <c r="Y40" s="10">
        <v>43424</v>
      </c>
      <c r="Z40" s="11">
        <v>123456789</v>
      </c>
      <c r="AA40" s="12" t="s">
        <v>186</v>
      </c>
      <c r="AB40" s="11" t="s">
        <v>187</v>
      </c>
      <c r="AC40" s="12" t="s">
        <v>188</v>
      </c>
      <c r="AD40" s="11" t="s">
        <v>44</v>
      </c>
      <c r="AE40" s="12" t="s">
        <v>45</v>
      </c>
      <c r="AF40" s="14">
        <f t="shared" si="0"/>
        <v>0.19474749999999999</v>
      </c>
      <c r="AG40" s="11" t="s">
        <v>118</v>
      </c>
    </row>
    <row r="41" spans="1:33" x14ac:dyDescent="0.2">
      <c r="A41" s="8">
        <v>7471</v>
      </c>
      <c r="B41" s="9" t="s">
        <v>189</v>
      </c>
      <c r="C41" s="10">
        <v>43437</v>
      </c>
      <c r="D41" s="11">
        <v>27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190</v>
      </c>
      <c r="J41" s="12" t="s">
        <v>191</v>
      </c>
      <c r="K41" s="13" t="s">
        <v>192</v>
      </c>
      <c r="L41" s="11" t="str">
        <f>"000245"</f>
        <v>000245</v>
      </c>
      <c r="M41" s="10">
        <v>43134</v>
      </c>
      <c r="N41" s="11" t="str">
        <f>"000138"</f>
        <v>000138</v>
      </c>
      <c r="O41" s="10">
        <v>43163</v>
      </c>
      <c r="P41" s="11" t="str">
        <f>"000395"</f>
        <v>000395</v>
      </c>
      <c r="Q41" s="10">
        <v>43163</v>
      </c>
      <c r="R41" s="11">
        <v>18</v>
      </c>
      <c r="S41" s="11" t="str">
        <f>"007556"</f>
        <v>007556</v>
      </c>
      <c r="T41" s="10">
        <v>43427</v>
      </c>
      <c r="U41" s="14">
        <v>49.79569</v>
      </c>
      <c r="V41" s="14">
        <v>4.0359999999999996</v>
      </c>
      <c r="W41" s="14">
        <v>45.759689999999999</v>
      </c>
      <c r="X41" s="11">
        <v>280</v>
      </c>
      <c r="Y41" s="10">
        <v>43437</v>
      </c>
      <c r="Z41" s="11">
        <v>123456789</v>
      </c>
      <c r="AA41" s="12" t="s">
        <v>193</v>
      </c>
      <c r="AB41" s="11" t="s">
        <v>194</v>
      </c>
      <c r="AC41" s="12" t="s">
        <v>195</v>
      </c>
      <c r="AD41" s="11" t="s">
        <v>44</v>
      </c>
      <c r="AE41" s="12" t="s">
        <v>45</v>
      </c>
      <c r="AF41" s="14">
        <f t="shared" si="0"/>
        <v>0.49795689999999998</v>
      </c>
      <c r="AG41" s="11" t="s">
        <v>46</v>
      </c>
    </row>
    <row r="42" spans="1:33" x14ac:dyDescent="0.2">
      <c r="A42" s="8">
        <v>7966</v>
      </c>
      <c r="B42" s="9" t="s">
        <v>189</v>
      </c>
      <c r="C42" s="10">
        <v>43455</v>
      </c>
      <c r="D42" s="11">
        <v>27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196</v>
      </c>
      <c r="J42" s="12" t="s">
        <v>197</v>
      </c>
      <c r="K42" s="13" t="s">
        <v>40</v>
      </c>
      <c r="L42" s="11" t="str">
        <f>"000026"</f>
        <v>000026</v>
      </c>
      <c r="M42" s="10">
        <v>41802</v>
      </c>
      <c r="N42" s="11" t="str">
        <f>"000174"</f>
        <v>000174</v>
      </c>
      <c r="O42" s="10">
        <v>42821</v>
      </c>
      <c r="P42" s="11" t="str">
        <f>"000107"</f>
        <v>000107</v>
      </c>
      <c r="Q42" s="10">
        <v>42886</v>
      </c>
      <c r="R42" s="11">
        <v>14</v>
      </c>
      <c r="S42" s="11" t="str">
        <f>"007719"</f>
        <v>007719</v>
      </c>
      <c r="T42" s="10">
        <v>43441</v>
      </c>
      <c r="U42" s="14">
        <v>18.809999999999999</v>
      </c>
      <c r="V42" s="14">
        <v>2.6622599999999998</v>
      </c>
      <c r="W42" s="14">
        <v>16.147739999999999</v>
      </c>
      <c r="X42" s="11">
        <v>301</v>
      </c>
      <c r="Y42" s="10">
        <v>43455</v>
      </c>
      <c r="Z42" s="11">
        <v>123456789</v>
      </c>
      <c r="AA42" s="12" t="s">
        <v>186</v>
      </c>
      <c r="AB42" s="11" t="s">
        <v>198</v>
      </c>
      <c r="AC42" s="12" t="s">
        <v>199</v>
      </c>
      <c r="AD42" s="11" t="s">
        <v>44</v>
      </c>
      <c r="AE42" s="12" t="s">
        <v>45</v>
      </c>
      <c r="AF42" s="14">
        <f t="shared" si="0"/>
        <v>0.18809999999999999</v>
      </c>
      <c r="AG42" s="11" t="s">
        <v>46</v>
      </c>
    </row>
    <row r="43" spans="1:33" x14ac:dyDescent="0.2">
      <c r="A43" s="8">
        <v>7967</v>
      </c>
      <c r="B43" s="9" t="s">
        <v>189</v>
      </c>
      <c r="C43" s="10">
        <v>43455</v>
      </c>
      <c r="D43" s="11">
        <v>27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200</v>
      </c>
      <c r="J43" s="12" t="s">
        <v>201</v>
      </c>
      <c r="K43" s="13" t="s">
        <v>40</v>
      </c>
      <c r="L43" s="11" t="str">
        <f>"000341"</f>
        <v>000341</v>
      </c>
      <c r="M43" s="10">
        <v>41348</v>
      </c>
      <c r="N43" s="11" t="str">
        <f>"000161"</f>
        <v>000161</v>
      </c>
      <c r="O43" s="10">
        <v>42789</v>
      </c>
      <c r="P43" s="11" t="str">
        <f>"000108"</f>
        <v>000108</v>
      </c>
      <c r="Q43" s="10">
        <v>42886</v>
      </c>
      <c r="R43" s="11">
        <v>13</v>
      </c>
      <c r="S43" s="11" t="str">
        <f>"007720"</f>
        <v>007720</v>
      </c>
      <c r="T43" s="10">
        <v>43441</v>
      </c>
      <c r="U43" s="14">
        <v>19.874320000000001</v>
      </c>
      <c r="V43" s="14">
        <v>2.8341799999999999</v>
      </c>
      <c r="W43" s="14">
        <v>17.040140000000001</v>
      </c>
      <c r="X43" s="11">
        <v>301</v>
      </c>
      <c r="Y43" s="10">
        <v>43455</v>
      </c>
      <c r="Z43" s="11">
        <v>123456789</v>
      </c>
      <c r="AA43" s="12" t="s">
        <v>186</v>
      </c>
      <c r="AB43" s="11" t="s">
        <v>202</v>
      </c>
      <c r="AC43" s="12" t="s">
        <v>203</v>
      </c>
      <c r="AD43" s="11" t="s">
        <v>44</v>
      </c>
      <c r="AE43" s="12" t="s">
        <v>45</v>
      </c>
      <c r="AF43" s="14">
        <f t="shared" si="0"/>
        <v>0.19874320000000001</v>
      </c>
      <c r="AG43" s="11" t="s">
        <v>46</v>
      </c>
    </row>
    <row r="44" spans="1:33" x14ac:dyDescent="0.2">
      <c r="A44" s="8">
        <v>7968</v>
      </c>
      <c r="B44" s="9" t="s">
        <v>189</v>
      </c>
      <c r="C44" s="10">
        <v>43455</v>
      </c>
      <c r="D44" s="11">
        <v>27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78</v>
      </c>
      <c r="J44" s="12" t="s">
        <v>79</v>
      </c>
      <c r="K44" s="13" t="s">
        <v>76</v>
      </c>
      <c r="L44" s="11" t="str">
        <f>"000024"</f>
        <v>000024</v>
      </c>
      <c r="M44" s="10">
        <v>42508</v>
      </c>
      <c r="N44" s="11" t="str">
        <f>"046"</f>
        <v>046</v>
      </c>
      <c r="O44" s="10">
        <v>17</v>
      </c>
      <c r="P44" s="11" t="str">
        <f>"128"</f>
        <v>128</v>
      </c>
      <c r="Q44" s="10">
        <v>17</v>
      </c>
      <c r="R44" s="11">
        <v>16</v>
      </c>
      <c r="S44" s="11" t="str">
        <f>"008108"</f>
        <v>008108</v>
      </c>
      <c r="T44" s="10">
        <v>43454</v>
      </c>
      <c r="U44" s="14">
        <v>7.2461000000000002</v>
      </c>
      <c r="V44" s="14">
        <v>0.95633999999999997</v>
      </c>
      <c r="W44" s="14">
        <v>6.2897600000000002</v>
      </c>
      <c r="X44" s="11">
        <v>301</v>
      </c>
      <c r="Y44" s="10">
        <v>43455</v>
      </c>
      <c r="Z44" s="11">
        <v>9845860866</v>
      </c>
      <c r="AA44" s="12" t="s">
        <v>80</v>
      </c>
      <c r="AB44" s="11" t="s">
        <v>81</v>
      </c>
      <c r="AC44" s="12" t="s">
        <v>82</v>
      </c>
      <c r="AD44" s="11" t="s">
        <v>83</v>
      </c>
      <c r="AE44" s="12" t="s">
        <v>84</v>
      </c>
      <c r="AF44" s="14">
        <f t="shared" si="0"/>
        <v>7.2460999999999998E-2</v>
      </c>
      <c r="AG44" s="11" t="s">
        <v>46</v>
      </c>
    </row>
    <row r="45" spans="1:33" x14ac:dyDescent="0.2">
      <c r="A45" s="8">
        <v>8487</v>
      </c>
      <c r="B45" s="9" t="s">
        <v>204</v>
      </c>
      <c r="C45" s="10">
        <v>43472</v>
      </c>
      <c r="D45" s="11">
        <v>27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205</v>
      </c>
      <c r="J45" s="12" t="s">
        <v>206</v>
      </c>
      <c r="K45" s="13" t="s">
        <v>40</v>
      </c>
      <c r="L45" s="11" t="str">
        <f>"000137"</f>
        <v>000137</v>
      </c>
      <c r="M45" s="10">
        <v>43382</v>
      </c>
      <c r="N45" s="11" t="str">
        <f>"000114"</f>
        <v>000114</v>
      </c>
      <c r="O45" s="10">
        <v>43382</v>
      </c>
      <c r="P45" s="11" t="str">
        <f>"000229"</f>
        <v>000229</v>
      </c>
      <c r="Q45" s="10">
        <v>43382</v>
      </c>
      <c r="R45" s="11"/>
      <c r="S45" s="11" t="str">
        <f>"008614"</f>
        <v>008614</v>
      </c>
      <c r="T45" s="10">
        <v>43472</v>
      </c>
      <c r="U45" s="14">
        <v>9.9016000000000002</v>
      </c>
      <c r="V45" s="14">
        <v>1.11155</v>
      </c>
      <c r="W45" s="14">
        <v>8.7900500000000008</v>
      </c>
      <c r="X45" s="11">
        <v>318</v>
      </c>
      <c r="Y45" s="10">
        <v>43472</v>
      </c>
      <c r="Z45" s="11">
        <v>123456789</v>
      </c>
      <c r="AA45" s="12" t="s">
        <v>207</v>
      </c>
      <c r="AB45" s="11" t="s">
        <v>71</v>
      </c>
      <c r="AC45" s="12" t="s">
        <v>72</v>
      </c>
      <c r="AD45" s="11" t="s">
        <v>44</v>
      </c>
      <c r="AE45" s="12" t="s">
        <v>45</v>
      </c>
      <c r="AF45" s="14">
        <f t="shared" si="0"/>
        <v>9.9016000000000007E-2</v>
      </c>
      <c r="AG45" s="11" t="s">
        <v>118</v>
      </c>
    </row>
    <row r="46" spans="1:33" x14ac:dyDescent="0.2">
      <c r="A46" s="8">
        <v>8488</v>
      </c>
      <c r="B46" s="9" t="s">
        <v>204</v>
      </c>
      <c r="C46" s="10">
        <v>43472</v>
      </c>
      <c r="D46" s="11">
        <v>27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208</v>
      </c>
      <c r="J46" s="12" t="s">
        <v>209</v>
      </c>
      <c r="K46" s="13" t="s">
        <v>69</v>
      </c>
      <c r="L46" s="11" t="str">
        <f>"000136"</f>
        <v>000136</v>
      </c>
      <c r="M46" s="10">
        <v>43382</v>
      </c>
      <c r="N46" s="11" t="str">
        <f>"000113"</f>
        <v>000113</v>
      </c>
      <c r="O46" s="10">
        <v>43382</v>
      </c>
      <c r="P46" s="11" t="str">
        <f>"000228"</f>
        <v>000228</v>
      </c>
      <c r="Q46" s="10">
        <v>43382</v>
      </c>
      <c r="R46" s="11"/>
      <c r="S46" s="11" t="str">
        <f>"008615"</f>
        <v>008615</v>
      </c>
      <c r="T46" s="10">
        <v>43472</v>
      </c>
      <c r="U46" s="14">
        <v>29.97927</v>
      </c>
      <c r="V46" s="14">
        <v>3.35961</v>
      </c>
      <c r="W46" s="14">
        <v>26.61966</v>
      </c>
      <c r="X46" s="11">
        <v>318</v>
      </c>
      <c r="Y46" s="10">
        <v>43472</v>
      </c>
      <c r="Z46" s="11">
        <v>123456789</v>
      </c>
      <c r="AA46" s="12" t="s">
        <v>154</v>
      </c>
      <c r="AB46" s="11" t="s">
        <v>71</v>
      </c>
      <c r="AC46" s="12" t="s">
        <v>72</v>
      </c>
      <c r="AD46" s="11" t="s">
        <v>44</v>
      </c>
      <c r="AE46" s="12" t="s">
        <v>45</v>
      </c>
      <c r="AF46" s="14">
        <f t="shared" si="0"/>
        <v>0.29979270000000002</v>
      </c>
      <c r="AG46" s="11" t="s">
        <v>118</v>
      </c>
    </row>
    <row r="47" spans="1:33" x14ac:dyDescent="0.2">
      <c r="A47" s="8">
        <v>8633</v>
      </c>
      <c r="B47" s="9" t="s">
        <v>204</v>
      </c>
      <c r="C47" s="10">
        <v>43483</v>
      </c>
      <c r="D47" s="11">
        <v>27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210</v>
      </c>
      <c r="J47" s="12" t="s">
        <v>211</v>
      </c>
      <c r="K47" s="13" t="s">
        <v>212</v>
      </c>
      <c r="L47" s="11" t="str">
        <f>"000011"</f>
        <v>000011</v>
      </c>
      <c r="M47" s="10">
        <v>43441</v>
      </c>
      <c r="N47" s="11" t="str">
        <f>"000026"</f>
        <v>000026</v>
      </c>
      <c r="O47" s="10">
        <v>43461</v>
      </c>
      <c r="P47" s="11" t="str">
        <f>"000229"</f>
        <v>000229</v>
      </c>
      <c r="Q47" s="10">
        <v>43462</v>
      </c>
      <c r="R47" s="11"/>
      <c r="S47" s="11" t="str">
        <f>"008789"</f>
        <v>008789</v>
      </c>
      <c r="T47" s="10">
        <v>43483</v>
      </c>
      <c r="U47" s="14">
        <v>55.04</v>
      </c>
      <c r="V47" s="14">
        <v>4.54786</v>
      </c>
      <c r="W47" s="14">
        <v>50.492139999999999</v>
      </c>
      <c r="X47" s="11">
        <v>326</v>
      </c>
      <c r="Y47" s="10">
        <v>43483</v>
      </c>
      <c r="Z47" s="11">
        <v>9880627397</v>
      </c>
      <c r="AA47" s="12" t="s">
        <v>213</v>
      </c>
      <c r="AB47" s="11" t="s">
        <v>187</v>
      </c>
      <c r="AC47" s="12" t="s">
        <v>188</v>
      </c>
      <c r="AD47" s="11" t="s">
        <v>214</v>
      </c>
      <c r="AE47" s="12" t="s">
        <v>215</v>
      </c>
      <c r="AF47" s="14">
        <f t="shared" si="0"/>
        <v>0.5504</v>
      </c>
      <c r="AG47" s="11" t="s">
        <v>118</v>
      </c>
    </row>
    <row r="48" spans="1:33" x14ac:dyDescent="0.2">
      <c r="A48" s="8">
        <v>8701</v>
      </c>
      <c r="B48" s="9" t="s">
        <v>204</v>
      </c>
      <c r="C48" s="10">
        <v>43484</v>
      </c>
      <c r="D48" s="11">
        <v>27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216</v>
      </c>
      <c r="J48" s="12" t="s">
        <v>217</v>
      </c>
      <c r="K48" s="13" t="s">
        <v>69</v>
      </c>
      <c r="L48" s="11" t="str">
        <f>"000016"</f>
        <v>000016</v>
      </c>
      <c r="M48" s="10">
        <v>43466</v>
      </c>
      <c r="N48" s="11" t="str">
        <f>"000035"</f>
        <v>000035</v>
      </c>
      <c r="O48" s="10">
        <v>43466</v>
      </c>
      <c r="P48" s="11" t="str">
        <f>"000037"</f>
        <v>000037</v>
      </c>
      <c r="Q48" s="10">
        <v>43467</v>
      </c>
      <c r="R48" s="11"/>
      <c r="S48" s="11" t="str">
        <f>"008841"</f>
        <v>008841</v>
      </c>
      <c r="T48" s="10">
        <v>43483</v>
      </c>
      <c r="U48" s="14">
        <v>114.4148</v>
      </c>
      <c r="V48" s="14">
        <v>12.48751</v>
      </c>
      <c r="W48" s="14">
        <v>101.92729</v>
      </c>
      <c r="X48" s="11">
        <v>329</v>
      </c>
      <c r="Y48" s="10">
        <v>43484</v>
      </c>
      <c r="Z48" s="11">
        <v>9900980808</v>
      </c>
      <c r="AA48" s="12" t="s">
        <v>218</v>
      </c>
      <c r="AB48" s="11" t="s">
        <v>219</v>
      </c>
      <c r="AC48" s="12" t="s">
        <v>220</v>
      </c>
      <c r="AD48" s="11" t="s">
        <v>221</v>
      </c>
      <c r="AE48" s="12" t="s">
        <v>222</v>
      </c>
      <c r="AF48" s="14">
        <f t="shared" si="0"/>
        <v>1.1441479999999999</v>
      </c>
      <c r="AG48" s="11" t="s">
        <v>118</v>
      </c>
    </row>
    <row r="49" spans="1:33" x14ac:dyDescent="0.2">
      <c r="A49" s="8">
        <v>8919</v>
      </c>
      <c r="B49" s="9" t="s">
        <v>223</v>
      </c>
      <c r="C49" s="10">
        <v>43497</v>
      </c>
      <c r="D49" s="11">
        <v>27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224</v>
      </c>
      <c r="J49" s="12" t="s">
        <v>225</v>
      </c>
      <c r="K49" s="13" t="s">
        <v>69</v>
      </c>
      <c r="L49" s="11" t="str">
        <f>"000107"</f>
        <v>000107</v>
      </c>
      <c r="M49" s="10">
        <v>43357</v>
      </c>
      <c r="N49" s="11" t="str">
        <f>"000086"</f>
        <v>000086</v>
      </c>
      <c r="O49" s="10">
        <v>43357</v>
      </c>
      <c r="P49" s="11" t="str">
        <f>"000190"</f>
        <v>000190</v>
      </c>
      <c r="Q49" s="10">
        <v>43357</v>
      </c>
      <c r="R49" s="11"/>
      <c r="S49" s="11" t="str">
        <f>"008760"</f>
        <v>008760</v>
      </c>
      <c r="T49" s="10">
        <v>43482</v>
      </c>
      <c r="U49" s="14">
        <v>19.99475</v>
      </c>
      <c r="V49" s="14">
        <v>1.9644999999999999</v>
      </c>
      <c r="W49" s="14">
        <v>18.030249999999999</v>
      </c>
      <c r="X49" s="11">
        <v>337</v>
      </c>
      <c r="Y49" s="10">
        <v>43497</v>
      </c>
      <c r="Z49" s="11">
        <v>123456789</v>
      </c>
      <c r="AA49" s="12" t="s">
        <v>154</v>
      </c>
      <c r="AB49" s="11" t="s">
        <v>116</v>
      </c>
      <c r="AC49" s="12" t="s">
        <v>117</v>
      </c>
      <c r="AD49" s="11" t="s">
        <v>44</v>
      </c>
      <c r="AE49" s="12" t="s">
        <v>45</v>
      </c>
      <c r="AF49" s="14">
        <f t="shared" si="0"/>
        <v>0.1999475</v>
      </c>
      <c r="AG49" s="11" t="s">
        <v>118</v>
      </c>
    </row>
    <row r="50" spans="1:33" x14ac:dyDescent="0.2">
      <c r="A50" s="8">
        <v>9729</v>
      </c>
      <c r="B50" s="9" t="s">
        <v>226</v>
      </c>
      <c r="C50" s="10">
        <v>43540</v>
      </c>
      <c r="D50" s="11">
        <v>27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227</v>
      </c>
      <c r="J50" s="12" t="s">
        <v>228</v>
      </c>
      <c r="K50" s="13" t="s">
        <v>50</v>
      </c>
      <c r="L50" s="11" t="str">
        <f>"000144"</f>
        <v>000144</v>
      </c>
      <c r="M50" s="10">
        <v>43382</v>
      </c>
      <c r="N50" s="11" t="str">
        <f>"000187"</f>
        <v>000187</v>
      </c>
      <c r="O50" s="10">
        <v>43509</v>
      </c>
      <c r="P50" s="11" t="str">
        <f>"000343"</f>
        <v>000343</v>
      </c>
      <c r="Q50" s="10">
        <v>43509</v>
      </c>
      <c r="R50" s="11"/>
      <c r="S50" s="11" t="str">
        <f>"000254"</f>
        <v>000254</v>
      </c>
      <c r="T50" s="10">
        <v>43564</v>
      </c>
      <c r="U50" s="14">
        <v>3.6988799999999999</v>
      </c>
      <c r="V50" s="14">
        <v>0.27166000000000001</v>
      </c>
      <c r="W50" s="14">
        <v>3.4272200000000002</v>
      </c>
      <c r="X50" s="11">
        <v>377</v>
      </c>
      <c r="Y50" s="10">
        <v>43540</v>
      </c>
      <c r="Z50" s="11">
        <v>123456789</v>
      </c>
      <c r="AA50" s="12" t="s">
        <v>229</v>
      </c>
      <c r="AB50" s="11" t="s">
        <v>89</v>
      </c>
      <c r="AC50" s="12" t="s">
        <v>90</v>
      </c>
      <c r="AD50" s="11" t="s">
        <v>44</v>
      </c>
      <c r="AE50" s="12" t="s">
        <v>45</v>
      </c>
      <c r="AF50" s="14">
        <f t="shared" si="0"/>
        <v>3.6988800000000002E-2</v>
      </c>
      <c r="AG50" s="11" t="s">
        <v>118</v>
      </c>
    </row>
    <row r="51" spans="1:33" x14ac:dyDescent="0.2">
      <c r="A51" s="8">
        <v>9772</v>
      </c>
      <c r="B51" s="9" t="s">
        <v>226</v>
      </c>
      <c r="C51" s="10">
        <v>43544</v>
      </c>
      <c r="D51" s="11">
        <v>27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230</v>
      </c>
      <c r="J51" s="12" t="s">
        <v>231</v>
      </c>
      <c r="K51" s="13" t="s">
        <v>40</v>
      </c>
      <c r="L51" s="11" t="str">
        <f>"000172"</f>
        <v>000172</v>
      </c>
      <c r="M51" s="10">
        <v>43396</v>
      </c>
      <c r="N51" s="11" t="str">
        <f>"000118"</f>
        <v>000118</v>
      </c>
      <c r="O51" s="10">
        <v>43396</v>
      </c>
      <c r="P51" s="11" t="str">
        <f>"000234"</f>
        <v>000234</v>
      </c>
      <c r="Q51" s="10">
        <v>43396</v>
      </c>
      <c r="R51" s="11"/>
      <c r="S51" s="11" t="str">
        <f>"009656"</f>
        <v>009656</v>
      </c>
      <c r="T51" s="10">
        <v>43536</v>
      </c>
      <c r="U51" s="14">
        <v>14.956939999999999</v>
      </c>
      <c r="V51" s="14">
        <v>1.7642899999999999</v>
      </c>
      <c r="W51" s="14">
        <v>13.19265</v>
      </c>
      <c r="X51" s="11">
        <v>379</v>
      </c>
      <c r="Y51" s="10">
        <v>43544</v>
      </c>
      <c r="Z51" s="11">
        <v>123456789</v>
      </c>
      <c r="AA51" s="12" t="s">
        <v>232</v>
      </c>
      <c r="AB51" s="11" t="s">
        <v>116</v>
      </c>
      <c r="AC51" s="12" t="s">
        <v>117</v>
      </c>
      <c r="AD51" s="11" t="s">
        <v>44</v>
      </c>
      <c r="AE51" s="12" t="s">
        <v>45</v>
      </c>
      <c r="AF51" s="14">
        <f t="shared" si="0"/>
        <v>0.14956939999999999</v>
      </c>
      <c r="AG51" s="11" t="s">
        <v>118</v>
      </c>
    </row>
    <row r="52" spans="1:33" x14ac:dyDescent="0.2">
      <c r="A52" s="8">
        <v>9773</v>
      </c>
      <c r="B52" s="9" t="s">
        <v>226</v>
      </c>
      <c r="C52" s="10">
        <v>43544</v>
      </c>
      <c r="D52" s="11">
        <v>27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233</v>
      </c>
      <c r="J52" s="12" t="s">
        <v>234</v>
      </c>
      <c r="K52" s="13" t="s">
        <v>40</v>
      </c>
      <c r="L52" s="11" t="str">
        <f>"000173"</f>
        <v>000173</v>
      </c>
      <c r="M52" s="10">
        <v>43396</v>
      </c>
      <c r="N52" s="11" t="str">
        <f>"000119"</f>
        <v>000119</v>
      </c>
      <c r="O52" s="10">
        <v>43396</v>
      </c>
      <c r="P52" s="11" t="str">
        <f>"000235"</f>
        <v>000235</v>
      </c>
      <c r="Q52" s="10">
        <v>43396</v>
      </c>
      <c r="R52" s="11"/>
      <c r="S52" s="11" t="str">
        <f>"009657"</f>
        <v>009657</v>
      </c>
      <c r="T52" s="10">
        <v>43536</v>
      </c>
      <c r="U52" s="14">
        <v>9.98461</v>
      </c>
      <c r="V52" s="14">
        <v>1.1508</v>
      </c>
      <c r="W52" s="14">
        <v>8.8338099999999997</v>
      </c>
      <c r="X52" s="11">
        <v>379</v>
      </c>
      <c r="Y52" s="10">
        <v>43544</v>
      </c>
      <c r="Z52" s="11">
        <v>123456789</v>
      </c>
      <c r="AA52" s="12" t="s">
        <v>232</v>
      </c>
      <c r="AB52" s="11" t="s">
        <v>116</v>
      </c>
      <c r="AC52" s="12" t="s">
        <v>117</v>
      </c>
      <c r="AD52" s="11" t="s">
        <v>44</v>
      </c>
      <c r="AE52" s="12" t="s">
        <v>45</v>
      </c>
      <c r="AF52" s="14">
        <f t="shared" si="0"/>
        <v>9.9846099999999993E-2</v>
      </c>
      <c r="AG52" s="11" t="s">
        <v>118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2019-06-12T11:03:04Z</dcterms:modified>
</cp:coreProperties>
</file>