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5" i="1" l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<sst xmlns="http://schemas.openxmlformats.org/spreadsheetml/2006/main" count="649" uniqueCount="189">
  <si>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</si>
  <si>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</si>
  <si>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</si>
  <si>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</si>
  <si>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</si>
  <si>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</si>
  <si>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</si>
  <si>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</si>
  <si>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</si>
  <si>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</si>
  <si>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</si>
  <si>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</si>
  <si>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</si>
  <si>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</si>
  <si>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</si>
  <si>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</si>
  <si>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</si>
  <si>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</si>
  <si>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</si>
  <si>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</si>
  <si>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</si>
  <si>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</si>
  <si>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</si>
  <si>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</si>
  <si>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</si>
  <si>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</si>
  <si>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</si>
  <si>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</si>
  <si>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</si>
  <si>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</si>
  <si>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</si>
  <si>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</si>
  <si>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</si>
  <si>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May</t>
  </si>
  <si>
    <t>Kammana Halli</t>
  </si>
  <si>
    <t>Maruthi Seva Nagara</t>
  </si>
  <si>
    <t>Sarvagna Nagara</t>
  </si>
  <si>
    <t>East</t>
  </si>
  <si>
    <t>028-16-000004</t>
  </si>
  <si>
    <t>IMPROMENTS TO DRAINS AT KODANDARAMA TEMPLE ROAD WESTERN SIDE IN WARD NO.28, KAMMANAHALLI.</t>
  </si>
  <si>
    <t>Footpaths &amp; Walkability</t>
  </si>
  <si>
    <t>Ganesh.M.S.</t>
  </si>
  <si>
    <t>P1771</t>
  </si>
  <si>
    <t>Zone Works - POW Works</t>
  </si>
  <si>
    <t>ddo081</t>
  </si>
  <si>
    <t xml:space="preserve"> Assistant Executive Engineer Maruthysena Nagar East Zone</t>
  </si>
  <si>
    <t>Pending</t>
  </si>
  <si>
    <t>028-17-000001</t>
  </si>
  <si>
    <t>Re-construction of box culvert Across H-401 at Kammanahalli 80 feet road near TATA Motors and opposite to HDFC Bank in ward no 28</t>
  </si>
  <si>
    <t>Roads &amp; Drivablility</t>
  </si>
  <si>
    <t>S L NARAYANA Prop M/s Puttalakshmi enterprises</t>
  </si>
  <si>
    <t>P0541</t>
  </si>
  <si>
    <t>Emergency Reserve Fund</t>
  </si>
  <si>
    <t>ddo313</t>
  </si>
  <si>
    <t xml:space="preserve"> Chief Engineer SWD Central Zone</t>
  </si>
  <si>
    <t>June</t>
  </si>
  <si>
    <t>028-15-000008</t>
  </si>
  <si>
    <t>CONSTRUCTION OF BANGALORE ONE BUILDING IN WARD NO 28</t>
  </si>
  <si>
    <t>Other Ward Works</t>
  </si>
  <si>
    <t>M/s Gnanaganapathy Infratech,</t>
  </si>
  <si>
    <t>July</t>
  </si>
  <si>
    <t>028-18-000002</t>
  </si>
  <si>
    <t>IMPROVEMENTS TO DRAINS AND ROADS AT JANAKIRAM LAYOUT SURROUNDING AREA IN WARD NO 28 KAMMANAHALLI</t>
  </si>
  <si>
    <t>The Technical Manager-01, KRIDL</t>
  </si>
  <si>
    <t>P1878</t>
  </si>
  <si>
    <t>18per - Works (Bhagyajyothi, Sooru / Neeru Yojane and General) (54 Lakhs / New Wards)</t>
  </si>
  <si>
    <t>Current</t>
  </si>
  <si>
    <t>028-18-000003</t>
  </si>
  <si>
    <t>IMPROVEMENTS TO DRAIN AND ROAD AT RAMASWAMY PALYA ROAD AND AK COLONY SURROUNDING AREA IN WARD NO 28</t>
  </si>
  <si>
    <t>The Technical Manager-01,  KRIDL,</t>
  </si>
  <si>
    <t>028-16-000001</t>
  </si>
  <si>
    <t>Operation and Maintenance of street lights at Kammanahalli and Kacharakana halli area ward nos 28 and 29 Package E19 for one year.</t>
  </si>
  <si>
    <t>M/s.Newtech Engineers</t>
  </si>
  <si>
    <t>P0300</t>
  </si>
  <si>
    <t>M and R to Street Lights - Replacement of Burnt Bulbs etc. (Package)</t>
  </si>
  <si>
    <t>ddo089</t>
  </si>
  <si>
    <t xml:space="preserve"> Assistant Executive Engineer Electrical East Zone</t>
  </si>
  <si>
    <t>Spill Over</t>
  </si>
  <si>
    <t>028-16-000005</t>
  </si>
  <si>
    <t>IMPROVEMENTS TO ROADS AND DRAINS AT KALAMMA ROAD IN WARD NO.28, KAMMANAHALLI.</t>
  </si>
  <si>
    <t>Ganesh.M.S</t>
  </si>
  <si>
    <t>028-17-000031</t>
  </si>
  <si>
    <t>Engagement of Gangman and Hiring of Troctor Tippers for cleaning and maintenance of road side drains and other civil works in ward 28</t>
  </si>
  <si>
    <t>L.Ramachandra,</t>
  </si>
  <si>
    <t>P3110</t>
  </si>
  <si>
    <t>14th Finance Commission Grant Works</t>
  </si>
  <si>
    <t>028-17-000017</t>
  </si>
  <si>
    <t>Annual Maintenace electrical installations of BBMP buildings, schools, maternity homes, community hall coming under Sarvagnanagara and C.V Ramannagara Constitutency.</t>
  </si>
  <si>
    <t>M/s Power-tech Electriclas</t>
  </si>
  <si>
    <t>P0294</t>
  </si>
  <si>
    <t>M and R to Electrical Inst in BMP Buildings, Schools, M.Homes, Community Halls, Markets and Others</t>
  </si>
  <si>
    <t>August</t>
  </si>
  <si>
    <t>028-18-000010</t>
  </si>
  <si>
    <t>Improvements to Road and Drains Culverts at Motappa Road and Surrounding area in Ward No.28, Kammanahalli</t>
  </si>
  <si>
    <t xml:space="preserve">M/s KRIDL, </t>
  </si>
  <si>
    <t>P3111</t>
  </si>
  <si>
    <t>State Finance Commission Untied Grant Works</t>
  </si>
  <si>
    <t>028-17-000003</t>
  </si>
  <si>
    <t>Improvements to road and drains at 4th cross Kodandarama temple street in ward no 28 Kammanahalli</t>
  </si>
  <si>
    <t>The Technical Manager-01</t>
  </si>
  <si>
    <t>028-15-000001</t>
  </si>
  <si>
    <t>IMPROMENTS TO DRAINS AT KALLAMMA ROAD IN WARD NO 28</t>
  </si>
  <si>
    <t>G.M.subramanyam,</t>
  </si>
  <si>
    <t>028-18-000009</t>
  </si>
  <si>
    <t>Improvements to Road and Drains Culverts at Veerabhadrappa Layout and Surrounding area in Ward No.28, Kammanahalli</t>
  </si>
  <si>
    <t>M/s KRIDL, The Technical Manager-01,</t>
  </si>
  <si>
    <t>028-15-000011</t>
  </si>
  <si>
    <t>MAINTENANCE OF WARD AND REMOVAL AO DEBRIS IN WARD NO 28</t>
  </si>
  <si>
    <t>Health &amp; Sanitation</t>
  </si>
  <si>
    <t>L.Ramachandrappa,</t>
  </si>
  <si>
    <t>028-18-000049</t>
  </si>
  <si>
    <t>DRILLING OF BOREWELL AND LAYING OF PIPELINE IN RAMASWAMY PALYA AK COLONY AND SURROUNDING AREA IN WARD NO 28</t>
  </si>
  <si>
    <t>Water &amp; Sanitary</t>
  </si>
  <si>
    <t>028-18-000050</t>
  </si>
  <si>
    <t>IMPROVEMENTS TO ROAD AND DRAINS AT COLONY 1ST CROSS AND SURROUNDING AREA IN WARD NO 28</t>
  </si>
  <si>
    <t xml:space="preserve">M/s KRIDL, The Technical Manager-01, </t>
  </si>
  <si>
    <t>028-18-000051</t>
  </si>
  <si>
    <t>IMPROVEMENTS TO ROAD AND DRAINS AT AK COLONY MAIN ROAD AND SURROUNDING AREA IN WARD NO 28</t>
  </si>
  <si>
    <t>M/s KRIDL, The Technical MAnager-01</t>
  </si>
  <si>
    <t>September</t>
  </si>
  <si>
    <t>028-17-000020</t>
  </si>
  <si>
    <t xml:space="preserve">Providing and fixing of LED Street lights in Ward No 28 in Sarvagnanagar Division </t>
  </si>
  <si>
    <t>M/s Newtech Engineers</t>
  </si>
  <si>
    <t>028-16-000018</t>
  </si>
  <si>
    <t>PROVIDING NAME BOARDS AND PAINTING TO EXISTING NAME BOARDS IN WARD NO 28 KAMMANAHALLI</t>
  </si>
  <si>
    <t>V.Vinaykumar,</t>
  </si>
  <si>
    <t>028-16-000016</t>
  </si>
  <si>
    <t>DESILTING OF DRAINS FROM VEERABADRA ROAD TO 80 FEET ROAD AND SURROUNDING AREAS IN WARD NO 28 KAMMANAHALLI</t>
  </si>
  <si>
    <t>028-16-000017</t>
  </si>
  <si>
    <t>DESILTING OF CULVERTS AND PROVIDING CULVERTS SLABS IN WARD NO 28 KAMMANAHALLI</t>
  </si>
  <si>
    <t>October</t>
  </si>
  <si>
    <t>028-18-000013</t>
  </si>
  <si>
    <t>Improvements to Road and Drains Culverts at Venkateshappa Layout and Surrounding area in Ward No.28, Kammanahalli</t>
  </si>
  <si>
    <t>028-18-000006</t>
  </si>
  <si>
    <t>Improvements to Drains Culverts at Sampanna Layout and Surrounding area in Ward No.28, Kammanahalli</t>
  </si>
  <si>
    <t>M/s KRIDL. The Technical Manager-01,</t>
  </si>
  <si>
    <t>028-18-000007</t>
  </si>
  <si>
    <t>Improvements to Drains Culverts at Muniswamappa Layout and Surrounding area in Ward No.28, Kammanahalli</t>
  </si>
  <si>
    <t xml:space="preserve">M/s  KRIDL, The Technical Manager-01, </t>
  </si>
  <si>
    <t>028-17-000028</t>
  </si>
  <si>
    <t>DRILLING OF BOREWELL AND WATER SUPPLY IN WARD NO 28 KAMMANAHALLI</t>
  </si>
  <si>
    <t xml:space="preserve">Technical Manager-01,  KRIDL, BBMP East Zone, No.52, 4th Floor, Prestige  Hosto Chambers, </t>
  </si>
  <si>
    <t>P1802</t>
  </si>
  <si>
    <t>Water Supply New Areas</t>
  </si>
  <si>
    <t>028-17-000004</t>
  </si>
  <si>
    <t>Package -II Comprehensive development of roads and drains at ward no 28,49,59 under Nagarothana Grants 2016-17</t>
  </si>
  <si>
    <t>M/s. Prashanth Road Infra Projects and Developers Pvt Ltd,</t>
  </si>
  <si>
    <t>P3158</t>
  </si>
  <si>
    <t>SIP Infrastructure Project works</t>
  </si>
  <si>
    <t>028-15-000014</t>
  </si>
  <si>
    <t xml:space="preserve">Replacement of burntout UG cable, MCBs and timers to electrical installations in parks, play grounds and Burial Grounds in Sarvagnanagara constituency </t>
  </si>
  <si>
    <t>Public Amenities</t>
  </si>
  <si>
    <t>P0298</t>
  </si>
  <si>
    <t>M and R to Electrical Installations in Parks and Gardens, Playgrounds, Burial Grounds</t>
  </si>
  <si>
    <t>November</t>
  </si>
  <si>
    <t>028-18-000054</t>
  </si>
  <si>
    <t>Providing Chain link fencing at indira canteen Kitechen in KHB Colony in ward No 28</t>
  </si>
  <si>
    <t>Indira Canteen</t>
  </si>
  <si>
    <t>The Technical Manager-01,</t>
  </si>
  <si>
    <t>P3106</t>
  </si>
  <si>
    <t>Nagarothana Works</t>
  </si>
  <si>
    <t>December</t>
  </si>
  <si>
    <t>028-17-000019</t>
  </si>
  <si>
    <t>Providing of Aerial bunch cable ACSR and control switches to major roads in Sarvagnanagara Constituency</t>
  </si>
  <si>
    <t>M/s Shree Vinayaka Electricals</t>
  </si>
  <si>
    <t>P1517</t>
  </si>
  <si>
    <t>Upgrading Street Lighting of Bangalore - Major Roads</t>
  </si>
  <si>
    <t>January</t>
  </si>
  <si>
    <t>M/s Manasa Consultants,</t>
  </si>
  <si>
    <t>028-18-000004</t>
  </si>
  <si>
    <t>Providing Jacketing and Bed protection to SWD H 300(Janaki ram Layout) in W.No.28</t>
  </si>
  <si>
    <t>Storm Water Drains</t>
  </si>
  <si>
    <t>Sri K.Prakash Babu</t>
  </si>
  <si>
    <t>February</t>
  </si>
  <si>
    <t>028-17-000013</t>
  </si>
  <si>
    <t xml:space="preserve">Improvements to roads and drains at Jayalakshmi school beside road in ward no.28, Kammanahalli, </t>
  </si>
  <si>
    <t>M.Pradeep,</t>
  </si>
  <si>
    <t>028-17-000011</t>
  </si>
  <si>
    <t>Improvements to culverts in ward no.28, Kammanahalli.</t>
  </si>
  <si>
    <t>March</t>
  </si>
  <si>
    <t>028-18-000053</t>
  </si>
  <si>
    <t>Improvements and beautification to indira canteen premises at KHB quarters in ward No 28 Kammanahalli</t>
  </si>
  <si>
    <t>028-17-000030</t>
  </si>
  <si>
    <t>Providing Modren Dust Bin in bangalore City in ward no 28</t>
  </si>
  <si>
    <t xml:space="preserve">M/s KRILD, The Technical Manager-01, </t>
  </si>
  <si>
    <t>028-17-000008</t>
  </si>
  <si>
    <t>Improvements to drains at Govindappa road Northern side in ward no.28, Kammanahalli.</t>
  </si>
  <si>
    <t>028-17-000007</t>
  </si>
  <si>
    <t>Improvements to drains at Govindappa road southern side in ward no.28, Kammanahalli.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</si>
</sst>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tabSelected="1" workbookViewId="0">
      <pane ySplit="1" topLeftCell="A2" activePane="bottomLeft" state="frozen"/>
      <selection activeCell="H1" sqref="H1"/>
      <selection pane="bottomLeft" activeCell="D7" sqref="D7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1169</v>
      </c>
      <c r="B2" s="9" t="s">
        <v>33</v>
      </c>
      <c r="C2" s="10">
        <v>43238</v>
      </c>
      <c r="D2" s="11">
        <v>28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"000092"</f>
        <v>000092</v>
      </c>
      <c r="M2" s="10">
        <v>42565</v>
      </c>
      <c r="N2" s="11" t="str">
        <f>"000063"</f>
        <v>000063</v>
      </c>
      <c r="O2" s="10">
        <v>42613</v>
      </c>
      <c r="P2" s="11" t="str">
        <f>"000201"</f>
        <v>000201</v>
      </c>
      <c r="Q2" s="10">
        <v>42613</v>
      </c>
      <c r="R2" s="11">
        <v>16</v>
      </c>
      <c r="S2" s="11" t="str">
        <f>"001477"</f>
        <v>001477</v>
      </c>
      <c r="T2" s="10">
        <v>43236</v>
      </c>
      <c r="U2" s="14">
        <v>19.237490000000001</v>
      </c>
      <c r="V2" s="14">
        <v>1.5720000000000001</v>
      </c>
      <c r="W2" s="14">
        <v>17.665489999999998</v>
      </c>
      <c r="X2" s="11">
        <v>52</v>
      </c>
      <c r="Y2" s="10">
        <v>43238</v>
      </c>
      <c r="Z2" s="11">
        <v>9844973366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0.19237490000000002</v>
      </c>
      <c r="AG2" s="11" t="s">
        <v>46</v>
      </c>
    </row>
    <row r="3" spans="1:33" x14ac:dyDescent="0.2">
      <c r="A3" s="8">
        <v>1417</v>
      </c>
      <c r="B3" s="9" t="s">
        <v>33</v>
      </c>
      <c r="C3" s="10">
        <v>43242</v>
      </c>
      <c r="D3" s="11">
        <v>28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"000023"</f>
        <v>000023</v>
      </c>
      <c r="M3" s="10">
        <v>42774</v>
      </c>
      <c r="N3" s="11" t="str">
        <f>"000001"</f>
        <v>000001</v>
      </c>
      <c r="O3" s="10">
        <v>42825</v>
      </c>
      <c r="P3" s="11" t="str">
        <f>"000050"</f>
        <v>000050</v>
      </c>
      <c r="Q3" s="10">
        <v>43063</v>
      </c>
      <c r="R3" s="11">
        <v>17</v>
      </c>
      <c r="S3" s="11" t="str">
        <f>"001600"</f>
        <v>001600</v>
      </c>
      <c r="T3" s="10">
        <v>43239</v>
      </c>
      <c r="U3" s="14">
        <v>24.632000000000001</v>
      </c>
      <c r="V3" s="14">
        <v>1.7504999999999999</v>
      </c>
      <c r="W3" s="14">
        <v>22.881499999999999</v>
      </c>
      <c r="X3" s="11">
        <v>60</v>
      </c>
      <c r="Y3" s="10">
        <v>43242</v>
      </c>
      <c r="Z3" s="11">
        <v>9880627397</v>
      </c>
      <c r="AA3" s="12" t="s">
        <v>50</v>
      </c>
      <c r="AB3" s="11" t="s">
        <v>51</v>
      </c>
      <c r="AC3" s="12" t="s">
        <v>52</v>
      </c>
      <c r="AD3" s="11" t="s">
        <v>53</v>
      </c>
      <c r="AE3" s="12" t="s">
        <v>54</v>
      </c>
      <c r="AF3" s="14">
        <v>0.24632000000000001</v>
      </c>
      <c r="AG3" s="11" t="s">
        <v>46</v>
      </c>
    </row>
    <row r="4" spans="1:33" x14ac:dyDescent="0.2">
      <c r="A4" s="8">
        <v>2441</v>
      </c>
      <c r="B4" s="9" t="s">
        <v>55</v>
      </c>
      <c r="C4" s="10">
        <v>43272</v>
      </c>
      <c r="D4" s="11">
        <v>28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56</v>
      </c>
      <c r="J4" s="12" t="s">
        <v>57</v>
      </c>
      <c r="K4" s="13" t="s">
        <v>58</v>
      </c>
      <c r="L4" s="11" t="str">
        <f>"000293"</f>
        <v>000293</v>
      </c>
      <c r="M4" s="10">
        <v>42041</v>
      </c>
      <c r="N4" s="11" t="str">
        <f>"000166"</f>
        <v>000166</v>
      </c>
      <c r="O4" s="10">
        <v>42794</v>
      </c>
      <c r="P4" s="11" t="str">
        <f>"000501"</f>
        <v>000501</v>
      </c>
      <c r="Q4" s="10">
        <v>42794</v>
      </c>
      <c r="R4" s="11">
        <v>15</v>
      </c>
      <c r="S4" s="11" t="str">
        <f>"002676"</f>
        <v>002676</v>
      </c>
      <c r="T4" s="10">
        <v>43270</v>
      </c>
      <c r="U4" s="14">
        <v>8.1746700000000008</v>
      </c>
      <c r="V4" s="14">
        <v>1.0113399999999999</v>
      </c>
      <c r="W4" s="14">
        <v>7.1633300000000002</v>
      </c>
      <c r="X4" s="11">
        <v>98</v>
      </c>
      <c r="Y4" s="10">
        <v>43272</v>
      </c>
      <c r="Z4" s="11">
        <v>123456789</v>
      </c>
      <c r="AA4" s="12" t="s">
        <v>59</v>
      </c>
      <c r="AB4" s="11" t="s">
        <v>42</v>
      </c>
      <c r="AC4" s="12" t="s">
        <v>43</v>
      </c>
      <c r="AD4" s="11" t="s">
        <v>44</v>
      </c>
      <c r="AE4" s="12" t="s">
        <v>45</v>
      </c>
      <c r="AF4" s="14">
        <v>8.1746700000000005E-2</v>
      </c>
      <c r="AG4" s="11" t="s">
        <v>46</v>
      </c>
    </row>
    <row r="5" spans="1:33" x14ac:dyDescent="0.2">
      <c r="A5" s="8">
        <v>3368</v>
      </c>
      <c r="B5" s="9" t="s">
        <v>60</v>
      </c>
      <c r="C5" s="10">
        <v>43298</v>
      </c>
      <c r="D5" s="11">
        <v>28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61</v>
      </c>
      <c r="J5" s="12" t="s">
        <v>62</v>
      </c>
      <c r="K5" s="13" t="s">
        <v>40</v>
      </c>
      <c r="L5" s="11" t="str">
        <f>"000031"</f>
        <v>000031</v>
      </c>
      <c r="M5" s="10">
        <v>43257</v>
      </c>
      <c r="N5" s="11" t="str">
        <f>"000024"</f>
        <v>000024</v>
      </c>
      <c r="O5" s="10">
        <v>43258</v>
      </c>
      <c r="P5" s="11" t="str">
        <f>"000061"</f>
        <v>000061</v>
      </c>
      <c r="Q5" s="10">
        <v>43258</v>
      </c>
      <c r="R5" s="11">
        <v>18</v>
      </c>
      <c r="S5" s="11" t="str">
        <f>"003323"</f>
        <v>003323</v>
      </c>
      <c r="T5" s="10">
        <v>43286</v>
      </c>
      <c r="U5" s="14">
        <v>49.841439999999999</v>
      </c>
      <c r="V5" s="14">
        <v>4.6665700000000001</v>
      </c>
      <c r="W5" s="14">
        <v>45.174869999999999</v>
      </c>
      <c r="X5" s="11">
        <v>126</v>
      </c>
      <c r="Y5" s="10">
        <v>43298</v>
      </c>
      <c r="Z5" s="11">
        <v>123456789</v>
      </c>
      <c r="AA5" s="12" t="s">
        <v>63</v>
      </c>
      <c r="AB5" s="11" t="s">
        <v>64</v>
      </c>
      <c r="AC5" s="12" t="s">
        <v>65</v>
      </c>
      <c r="AD5" s="11" t="s">
        <v>44</v>
      </c>
      <c r="AE5" s="12" t="s">
        <v>45</v>
      </c>
      <c r="AF5" s="14">
        <v>0.49841439999999998</v>
      </c>
      <c r="AG5" s="11" t="s">
        <v>66</v>
      </c>
    </row>
    <row r="6" spans="1:33" x14ac:dyDescent="0.2">
      <c r="A6" s="8">
        <v>3369</v>
      </c>
      <c r="B6" s="9" t="s">
        <v>60</v>
      </c>
      <c r="C6" s="10">
        <v>43298</v>
      </c>
      <c r="D6" s="11">
        <v>28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67</v>
      </c>
      <c r="J6" s="12" t="s">
        <v>68</v>
      </c>
      <c r="K6" s="13" t="s">
        <v>40</v>
      </c>
      <c r="L6" s="11" t="str">
        <f>"000030"</f>
        <v>000030</v>
      </c>
      <c r="M6" s="10">
        <v>43257</v>
      </c>
      <c r="N6" s="11" t="str">
        <f>"000023"</f>
        <v>000023</v>
      </c>
      <c r="O6" s="10">
        <v>43257</v>
      </c>
      <c r="P6" s="11" t="str">
        <f>"000059"</f>
        <v>000059</v>
      </c>
      <c r="Q6" s="10">
        <v>43257</v>
      </c>
      <c r="R6" s="11">
        <v>18</v>
      </c>
      <c r="S6" s="11" t="str">
        <f>"003340"</f>
        <v>003340</v>
      </c>
      <c r="T6" s="10">
        <v>43286</v>
      </c>
      <c r="U6" s="14">
        <v>49.849530000000001</v>
      </c>
      <c r="V6" s="14">
        <v>4.6944999999999997</v>
      </c>
      <c r="W6" s="14">
        <v>45.155029999999996</v>
      </c>
      <c r="X6" s="11">
        <v>126</v>
      </c>
      <c r="Y6" s="10">
        <v>43298</v>
      </c>
      <c r="Z6" s="11">
        <v>123456789</v>
      </c>
      <c r="AA6" s="12" t="s">
        <v>69</v>
      </c>
      <c r="AB6" s="11" t="s">
        <v>64</v>
      </c>
      <c r="AC6" s="12" t="s">
        <v>65</v>
      </c>
      <c r="AD6" s="11" t="s">
        <v>44</v>
      </c>
      <c r="AE6" s="12" t="s">
        <v>45</v>
      </c>
      <c r="AF6" s="14">
        <v>0.49849530000000003</v>
      </c>
      <c r="AG6" s="11" t="s">
        <v>66</v>
      </c>
    </row>
    <row r="7" spans="1:33" x14ac:dyDescent="0.2">
      <c r="A7" s="8">
        <v>3443</v>
      </c>
      <c r="B7" s="9" t="s">
        <v>60</v>
      </c>
      <c r="C7" s="10">
        <v>43299</v>
      </c>
      <c r="D7" s="11">
        <v>28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70</v>
      </c>
      <c r="J7" s="12" t="s">
        <v>71</v>
      </c>
      <c r="K7" s="13" t="s">
        <v>40</v>
      </c>
      <c r="L7" s="11" t="str">
        <f>"000008"</f>
        <v>000008</v>
      </c>
      <c r="M7" s="10">
        <v>42825</v>
      </c>
      <c r="N7" s="11" t="str">
        <f>"000005"</f>
        <v>000005</v>
      </c>
      <c r="O7" s="10">
        <v>43199</v>
      </c>
      <c r="P7" s="11" t="str">
        <f>"000005"</f>
        <v>000005</v>
      </c>
      <c r="Q7" s="10">
        <v>43199</v>
      </c>
      <c r="R7" s="11">
        <v>16</v>
      </c>
      <c r="S7" s="11" t="str">
        <f>"004341"</f>
        <v>004341</v>
      </c>
      <c r="T7" s="10">
        <v>43306</v>
      </c>
      <c r="U7" s="14">
        <v>7.5185000000000004</v>
      </c>
      <c r="V7" s="14">
        <v>0.73846999999999996</v>
      </c>
      <c r="W7" s="14">
        <v>6.78003</v>
      </c>
      <c r="X7" s="11">
        <v>127</v>
      </c>
      <c r="Y7" s="10">
        <v>43299</v>
      </c>
      <c r="Z7" s="11">
        <v>9880801223</v>
      </c>
      <c r="AA7" s="12" t="s">
        <v>72</v>
      </c>
      <c r="AB7" s="11" t="s">
        <v>73</v>
      </c>
      <c r="AC7" s="12" t="s">
        <v>74</v>
      </c>
      <c r="AD7" s="11" t="s">
        <v>75</v>
      </c>
      <c r="AE7" s="12" t="s">
        <v>76</v>
      </c>
      <c r="AF7" s="14">
        <v>7.5185000000000002E-2</v>
      </c>
      <c r="AG7" s="11" t="s">
        <v>77</v>
      </c>
    </row>
    <row r="8" spans="1:33" x14ac:dyDescent="0.2">
      <c r="A8" s="8">
        <v>3444</v>
      </c>
      <c r="B8" s="9" t="s">
        <v>60</v>
      </c>
      <c r="C8" s="10">
        <v>43299</v>
      </c>
      <c r="D8" s="11">
        <v>28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70</v>
      </c>
      <c r="J8" s="12" t="s">
        <v>71</v>
      </c>
      <c r="K8" s="13" t="s">
        <v>40</v>
      </c>
      <c r="L8" s="11" t="str">
        <f>"000008"</f>
        <v>000008</v>
      </c>
      <c r="M8" s="10">
        <v>42825</v>
      </c>
      <c r="N8" s="11" t="str">
        <f>"000005"</f>
        <v>000005</v>
      </c>
      <c r="O8" s="10">
        <v>43199</v>
      </c>
      <c r="P8" s="11" t="str">
        <f>"000005"</f>
        <v>000005</v>
      </c>
      <c r="Q8" s="10">
        <v>43199</v>
      </c>
      <c r="R8" s="11">
        <v>16</v>
      </c>
      <c r="S8" s="11" t="str">
        <f>"004341"</f>
        <v>004341</v>
      </c>
      <c r="T8" s="10">
        <v>43306</v>
      </c>
      <c r="U8" s="14">
        <v>12.22833</v>
      </c>
      <c r="V8" s="14">
        <v>0.94403999999999999</v>
      </c>
      <c r="W8" s="14">
        <v>11.28429</v>
      </c>
      <c r="X8" s="11">
        <v>127</v>
      </c>
      <c r="Y8" s="10">
        <v>43299</v>
      </c>
      <c r="Z8" s="11">
        <v>9880801223</v>
      </c>
      <c r="AA8" s="12" t="s">
        <v>72</v>
      </c>
      <c r="AB8" s="11" t="s">
        <v>73</v>
      </c>
      <c r="AC8" s="12" t="s">
        <v>74</v>
      </c>
      <c r="AD8" s="11" t="s">
        <v>75</v>
      </c>
      <c r="AE8" s="12" t="s">
        <v>76</v>
      </c>
      <c r="AF8" s="14">
        <v>0.1222833</v>
      </c>
      <c r="AG8" s="11" t="s">
        <v>77</v>
      </c>
    </row>
    <row r="9" spans="1:33" x14ac:dyDescent="0.2">
      <c r="A9" s="8">
        <v>3445</v>
      </c>
      <c r="B9" s="9" t="s">
        <v>60</v>
      </c>
      <c r="C9" s="10">
        <v>43299</v>
      </c>
      <c r="D9" s="11">
        <v>28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78</v>
      </c>
      <c r="J9" s="12" t="s">
        <v>79</v>
      </c>
      <c r="K9" s="13" t="s">
        <v>49</v>
      </c>
      <c r="L9" s="11" t="str">
        <f>"000143"</f>
        <v>000143</v>
      </c>
      <c r="M9" s="10">
        <v>42605</v>
      </c>
      <c r="N9" s="11" t="str">
        <f>"000151"</f>
        <v>000151</v>
      </c>
      <c r="O9" s="10">
        <v>42755</v>
      </c>
      <c r="P9" s="11" t="str">
        <f>"000407"</f>
        <v>000407</v>
      </c>
      <c r="Q9" s="10">
        <v>42757</v>
      </c>
      <c r="R9" s="11">
        <v>16</v>
      </c>
      <c r="S9" s="11" t="str">
        <f>"003856"</f>
        <v>003856</v>
      </c>
      <c r="T9" s="10">
        <v>43297</v>
      </c>
      <c r="U9" s="14">
        <v>14.6059</v>
      </c>
      <c r="V9" s="14">
        <v>1.0865</v>
      </c>
      <c r="W9" s="14">
        <v>13.519399999999999</v>
      </c>
      <c r="X9" s="11">
        <v>128</v>
      </c>
      <c r="Y9" s="10">
        <v>43299</v>
      </c>
      <c r="Z9" s="11">
        <v>123456789</v>
      </c>
      <c r="AA9" s="12" t="s">
        <v>80</v>
      </c>
      <c r="AB9" s="11" t="s">
        <v>42</v>
      </c>
      <c r="AC9" s="12" t="s">
        <v>43</v>
      </c>
      <c r="AD9" s="11" t="s">
        <v>44</v>
      </c>
      <c r="AE9" s="12" t="s">
        <v>45</v>
      </c>
      <c r="AF9" s="14">
        <v>0.14605899999999999</v>
      </c>
      <c r="AG9" s="11" t="s">
        <v>46</v>
      </c>
    </row>
    <row r="10" spans="1:33" x14ac:dyDescent="0.2">
      <c r="A10" s="8">
        <v>3663</v>
      </c>
      <c r="B10" s="9" t="s">
        <v>60</v>
      </c>
      <c r="C10" s="10">
        <v>43300</v>
      </c>
      <c r="D10" s="11">
        <v>28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81</v>
      </c>
      <c r="J10" s="12" t="s">
        <v>82</v>
      </c>
      <c r="K10" s="13" t="s">
        <v>40</v>
      </c>
      <c r="L10" s="11" t="str">
        <f>"000128"</f>
        <v>000128</v>
      </c>
      <c r="M10" s="10">
        <v>43023</v>
      </c>
      <c r="N10" s="11" t="str">
        <f>"000030"</f>
        <v>000030</v>
      </c>
      <c r="O10" s="10">
        <v>43266</v>
      </c>
      <c r="P10" s="11" t="str">
        <f>"000072"</f>
        <v>000072</v>
      </c>
      <c r="Q10" s="10">
        <v>43269</v>
      </c>
      <c r="R10" s="11">
        <v>17</v>
      </c>
      <c r="S10" s="11" t="str">
        <f>"003767"</f>
        <v>003767</v>
      </c>
      <c r="T10" s="10">
        <v>43294</v>
      </c>
      <c r="U10" s="14">
        <v>4.8099999999999996</v>
      </c>
      <c r="V10" s="14">
        <v>0.17399999999999999</v>
      </c>
      <c r="W10" s="14">
        <v>4.6360000000000001</v>
      </c>
      <c r="X10" s="11">
        <v>133</v>
      </c>
      <c r="Y10" s="10">
        <v>43300</v>
      </c>
      <c r="Z10" s="11">
        <v>123456789</v>
      </c>
      <c r="AA10" s="12" t="s">
        <v>83</v>
      </c>
      <c r="AB10" s="11" t="s">
        <v>84</v>
      </c>
      <c r="AC10" s="12" t="s">
        <v>85</v>
      </c>
      <c r="AD10" s="11" t="s">
        <v>44</v>
      </c>
      <c r="AE10" s="12" t="s">
        <v>45</v>
      </c>
      <c r="AF10" s="14">
        <v>4.8099999999999997E-2</v>
      </c>
      <c r="AG10" s="11" t="s">
        <v>77</v>
      </c>
    </row>
    <row r="11" spans="1:33" x14ac:dyDescent="0.2">
      <c r="A11" s="8">
        <v>3705</v>
      </c>
      <c r="B11" s="9" t="s">
        <v>60</v>
      </c>
      <c r="C11" s="10">
        <v>43301</v>
      </c>
      <c r="D11" s="11">
        <v>28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86</v>
      </c>
      <c r="J11" s="12" t="s">
        <v>87</v>
      </c>
      <c r="K11" s="13" t="s">
        <v>58</v>
      </c>
      <c r="L11" s="11" t="str">
        <f>"000052"</f>
        <v>000052</v>
      </c>
      <c r="M11" s="10">
        <v>42947</v>
      </c>
      <c r="N11" s="11" t="str">
        <f>"000170"</f>
        <v>000170</v>
      </c>
      <c r="O11" s="10">
        <v>43145</v>
      </c>
      <c r="P11" s="11" t="str">
        <f>"000155"</f>
        <v>000155</v>
      </c>
      <c r="Q11" s="10">
        <v>43146</v>
      </c>
      <c r="R11" s="11">
        <v>17</v>
      </c>
      <c r="S11" s="11" t="str">
        <f>"003919"</f>
        <v>003919</v>
      </c>
      <c r="T11" s="10">
        <v>43299</v>
      </c>
      <c r="U11" s="14">
        <v>1.54609</v>
      </c>
      <c r="V11" s="14">
        <v>9.6579999999999999E-2</v>
      </c>
      <c r="W11" s="14">
        <v>1.4495100000000001</v>
      </c>
      <c r="X11" s="11">
        <v>134</v>
      </c>
      <c r="Y11" s="10">
        <v>43301</v>
      </c>
      <c r="Z11" s="11">
        <v>9901801661</v>
      </c>
      <c r="AA11" s="12" t="s">
        <v>88</v>
      </c>
      <c r="AB11" s="11" t="s">
        <v>89</v>
      </c>
      <c r="AC11" s="12" t="s">
        <v>90</v>
      </c>
      <c r="AD11" s="11" t="s">
        <v>75</v>
      </c>
      <c r="AE11" s="12" t="s">
        <v>76</v>
      </c>
      <c r="AF11" s="14">
        <v>1.54609E-2</v>
      </c>
      <c r="AG11" s="11" t="s">
        <v>46</v>
      </c>
    </row>
    <row r="12" spans="1:33" x14ac:dyDescent="0.2">
      <c r="A12" s="8">
        <v>4077</v>
      </c>
      <c r="B12" s="9" t="s">
        <v>60</v>
      </c>
      <c r="C12" s="10">
        <v>43308</v>
      </c>
      <c r="D12" s="11">
        <v>28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70</v>
      </c>
      <c r="J12" s="12" t="s">
        <v>71</v>
      </c>
      <c r="K12" s="13" t="s">
        <v>40</v>
      </c>
      <c r="L12" s="11" t="str">
        <f>"000008"</f>
        <v>000008</v>
      </c>
      <c r="M12" s="10">
        <v>42825</v>
      </c>
      <c r="N12" s="11" t="str">
        <f>"000005"</f>
        <v>000005</v>
      </c>
      <c r="O12" s="10">
        <v>43199</v>
      </c>
      <c r="P12" s="11" t="str">
        <f>"000005"</f>
        <v>000005</v>
      </c>
      <c r="Q12" s="10">
        <v>43199</v>
      </c>
      <c r="R12" s="11">
        <v>16</v>
      </c>
      <c r="S12" s="11" t="str">
        <f>"004341"</f>
        <v>004341</v>
      </c>
      <c r="T12" s="10">
        <v>43306</v>
      </c>
      <c r="U12" s="14">
        <v>8.4866700000000002</v>
      </c>
      <c r="V12" s="14">
        <v>0.71577000000000002</v>
      </c>
      <c r="W12" s="14">
        <v>7.7709000000000001</v>
      </c>
      <c r="X12" s="11">
        <v>146</v>
      </c>
      <c r="Y12" s="10">
        <v>43308</v>
      </c>
      <c r="Z12" s="11">
        <v>9880801223</v>
      </c>
      <c r="AA12" s="12" t="s">
        <v>72</v>
      </c>
      <c r="AB12" s="11" t="s">
        <v>73</v>
      </c>
      <c r="AC12" s="12" t="s">
        <v>74</v>
      </c>
      <c r="AD12" s="11" t="s">
        <v>75</v>
      </c>
      <c r="AE12" s="12" t="s">
        <v>76</v>
      </c>
      <c r="AF12" s="14">
        <v>8.4866700000000003E-2</v>
      </c>
      <c r="AG12" s="11" t="s">
        <v>77</v>
      </c>
    </row>
    <row r="13" spans="1:33" x14ac:dyDescent="0.2">
      <c r="A13" s="8">
        <v>4336</v>
      </c>
      <c r="B13" s="9" t="s">
        <v>91</v>
      </c>
      <c r="C13" s="10">
        <v>43316</v>
      </c>
      <c r="D13" s="11">
        <v>28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92</v>
      </c>
      <c r="J13" s="12" t="s">
        <v>93</v>
      </c>
      <c r="K13" s="13" t="s">
        <v>40</v>
      </c>
      <c r="L13" s="11" t="str">
        <f>"000068"</f>
        <v>000068</v>
      </c>
      <c r="M13" s="10">
        <v>43302</v>
      </c>
      <c r="N13" s="11" t="str">
        <f>"000052"</f>
        <v>000052</v>
      </c>
      <c r="O13" s="10">
        <v>43302</v>
      </c>
      <c r="P13" s="11" t="str">
        <f>"000127"</f>
        <v>000127</v>
      </c>
      <c r="Q13" s="10">
        <v>43302</v>
      </c>
      <c r="R13" s="11">
        <v>18</v>
      </c>
      <c r="S13" s="11" t="str">
        <f>"004735"</f>
        <v>004735</v>
      </c>
      <c r="T13" s="10">
        <v>43314</v>
      </c>
      <c r="U13" s="14">
        <v>24.884519999999998</v>
      </c>
      <c r="V13" s="14">
        <v>2.29</v>
      </c>
      <c r="W13" s="14">
        <v>22.594519999999999</v>
      </c>
      <c r="X13" s="11">
        <v>155</v>
      </c>
      <c r="Y13" s="10">
        <v>43316</v>
      </c>
      <c r="Z13" s="11">
        <v>123456789</v>
      </c>
      <c r="AA13" s="12" t="s">
        <v>94</v>
      </c>
      <c r="AB13" s="11" t="s">
        <v>95</v>
      </c>
      <c r="AC13" s="12" t="s">
        <v>96</v>
      </c>
      <c r="AD13" s="11" t="s">
        <v>44</v>
      </c>
      <c r="AE13" s="12" t="s">
        <v>45</v>
      </c>
      <c r="AF13" s="14">
        <v>0.24884519999999999</v>
      </c>
      <c r="AG13" s="11" t="s">
        <v>66</v>
      </c>
    </row>
    <row r="14" spans="1:33" x14ac:dyDescent="0.2">
      <c r="A14" s="8">
        <v>4389</v>
      </c>
      <c r="B14" s="9" t="s">
        <v>91</v>
      </c>
      <c r="C14" s="10">
        <v>43318</v>
      </c>
      <c r="D14" s="11">
        <v>28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97</v>
      </c>
      <c r="J14" s="12" t="s">
        <v>98</v>
      </c>
      <c r="K14" s="13" t="s">
        <v>40</v>
      </c>
      <c r="L14" s="11" t="str">
        <f>"0.0125"</f>
        <v>0.0125</v>
      </c>
      <c r="M14" s="10">
        <v>42732</v>
      </c>
      <c r="N14" s="11" t="str">
        <f>"00.001"</f>
        <v>00.001</v>
      </c>
      <c r="O14" s="10">
        <v>42794</v>
      </c>
      <c r="P14" s="11" t="str">
        <f>"000512"</f>
        <v>000512</v>
      </c>
      <c r="Q14" s="10">
        <v>42794</v>
      </c>
      <c r="R14" s="11">
        <v>17</v>
      </c>
      <c r="S14" s="11" t="str">
        <f>"004679"</f>
        <v>004679</v>
      </c>
      <c r="T14" s="10">
        <v>43313</v>
      </c>
      <c r="U14" s="14">
        <v>21.5959</v>
      </c>
      <c r="V14" s="14">
        <v>3.0490599999999999</v>
      </c>
      <c r="W14" s="14">
        <v>18.54684</v>
      </c>
      <c r="X14" s="11">
        <v>159</v>
      </c>
      <c r="Y14" s="10">
        <v>43318</v>
      </c>
      <c r="Z14" s="11">
        <v>123456789</v>
      </c>
      <c r="AA14" s="12" t="s">
        <v>99</v>
      </c>
      <c r="AB14" s="11" t="s">
        <v>51</v>
      </c>
      <c r="AC14" s="12" t="s">
        <v>52</v>
      </c>
      <c r="AD14" s="11" t="s">
        <v>44</v>
      </c>
      <c r="AE14" s="12" t="s">
        <v>45</v>
      </c>
      <c r="AF14" s="14">
        <v>0.21595900000000001</v>
      </c>
      <c r="AG14" s="11" t="s">
        <v>46</v>
      </c>
    </row>
    <row r="15" spans="1:33" x14ac:dyDescent="0.2">
      <c r="A15" s="8">
        <v>4960</v>
      </c>
      <c r="B15" s="9" t="s">
        <v>91</v>
      </c>
      <c r="C15" s="10">
        <v>43330</v>
      </c>
      <c r="D15" s="11">
        <v>28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100</v>
      </c>
      <c r="J15" s="12" t="s">
        <v>101</v>
      </c>
      <c r="K15" s="13" t="s">
        <v>40</v>
      </c>
      <c r="L15" s="11" t="str">
        <f>"000070"</f>
        <v>000070</v>
      </c>
      <c r="M15" s="10">
        <v>42117</v>
      </c>
      <c r="N15" s="11" t="str">
        <f>"000184"</f>
        <v>000184</v>
      </c>
      <c r="O15" s="10">
        <v>42825</v>
      </c>
      <c r="P15" s="11" t="str">
        <f>"000527"</f>
        <v>000527</v>
      </c>
      <c r="Q15" s="10">
        <v>42825</v>
      </c>
      <c r="R15" s="11">
        <v>15</v>
      </c>
      <c r="S15" s="11" t="str">
        <f>"005194"</f>
        <v>005194</v>
      </c>
      <c r="T15" s="10">
        <v>43326</v>
      </c>
      <c r="U15" s="14">
        <v>17.325209999999998</v>
      </c>
      <c r="V15" s="14">
        <v>1.3436399999999999</v>
      </c>
      <c r="W15" s="14">
        <v>15.98157</v>
      </c>
      <c r="X15" s="11">
        <v>174</v>
      </c>
      <c r="Y15" s="10">
        <v>43330</v>
      </c>
      <c r="Z15" s="11">
        <v>123456789</v>
      </c>
      <c r="AA15" s="12" t="s">
        <v>102</v>
      </c>
      <c r="AB15" s="11" t="s">
        <v>42</v>
      </c>
      <c r="AC15" s="12" t="s">
        <v>43</v>
      </c>
      <c r="AD15" s="11" t="s">
        <v>44</v>
      </c>
      <c r="AE15" s="12" t="s">
        <v>45</v>
      </c>
      <c r="AF15" s="14">
        <v>0.17325209999999999</v>
      </c>
      <c r="AG15" s="11" t="s">
        <v>46</v>
      </c>
    </row>
    <row r="16" spans="1:33" x14ac:dyDescent="0.2">
      <c r="A16" s="8">
        <v>5044</v>
      </c>
      <c r="B16" s="9" t="s">
        <v>91</v>
      </c>
      <c r="C16" s="10">
        <v>43335</v>
      </c>
      <c r="D16" s="11">
        <v>28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103</v>
      </c>
      <c r="J16" s="12" t="s">
        <v>104</v>
      </c>
      <c r="K16" s="13" t="s">
        <v>40</v>
      </c>
      <c r="L16" s="11" t="str">
        <f>"000076"</f>
        <v>000076</v>
      </c>
      <c r="M16" s="10">
        <v>43315</v>
      </c>
      <c r="N16" s="11" t="str">
        <f>"000064"</f>
        <v>000064</v>
      </c>
      <c r="O16" s="10">
        <v>43315</v>
      </c>
      <c r="P16" s="11" t="str">
        <f>"000144"</f>
        <v>000144</v>
      </c>
      <c r="Q16" s="10">
        <v>43315</v>
      </c>
      <c r="R16" s="11">
        <v>18</v>
      </c>
      <c r="S16" s="11" t="str">
        <f>"005350"</f>
        <v>005350</v>
      </c>
      <c r="T16" s="10">
        <v>43335</v>
      </c>
      <c r="U16" s="14">
        <v>44.312370000000001</v>
      </c>
      <c r="V16" s="14">
        <v>4.0620000000000003</v>
      </c>
      <c r="W16" s="14">
        <v>40.250369999999997</v>
      </c>
      <c r="X16" s="11">
        <v>178</v>
      </c>
      <c r="Y16" s="10">
        <v>43335</v>
      </c>
      <c r="Z16" s="11">
        <v>123456789</v>
      </c>
      <c r="AA16" s="12" t="s">
        <v>105</v>
      </c>
      <c r="AB16" s="11" t="s">
        <v>95</v>
      </c>
      <c r="AC16" s="12" t="s">
        <v>96</v>
      </c>
      <c r="AD16" s="11" t="s">
        <v>44</v>
      </c>
      <c r="AE16" s="12" t="s">
        <v>45</v>
      </c>
      <c r="AF16" s="14">
        <v>0.44312370000000001</v>
      </c>
      <c r="AG16" s="11" t="s">
        <v>66</v>
      </c>
    </row>
    <row r="17" spans="1:33" x14ac:dyDescent="0.2">
      <c r="A17" s="8">
        <v>5077</v>
      </c>
      <c r="B17" s="9" t="s">
        <v>91</v>
      </c>
      <c r="C17" s="10">
        <v>43337</v>
      </c>
      <c r="D17" s="11">
        <v>28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106</v>
      </c>
      <c r="J17" s="12" t="s">
        <v>107</v>
      </c>
      <c r="K17" s="13" t="s">
        <v>108</v>
      </c>
      <c r="L17" s="11" t="str">
        <f>"000057"</f>
        <v>000057</v>
      </c>
      <c r="M17" s="10">
        <v>43288</v>
      </c>
      <c r="N17" s="11" t="str">
        <f>"000044"</f>
        <v>000044</v>
      </c>
      <c r="O17" s="10">
        <v>43288</v>
      </c>
      <c r="P17" s="11" t="str">
        <f>"000113"</f>
        <v>000113</v>
      </c>
      <c r="Q17" s="10">
        <v>43288</v>
      </c>
      <c r="R17" s="11">
        <v>15</v>
      </c>
      <c r="S17" s="11" t="str">
        <f>"005387"</f>
        <v>005387</v>
      </c>
      <c r="T17" s="10">
        <v>43337</v>
      </c>
      <c r="U17" s="14">
        <v>9.9227000000000007</v>
      </c>
      <c r="V17" s="14">
        <v>0.90700000000000003</v>
      </c>
      <c r="W17" s="14">
        <v>9.0157000000000007</v>
      </c>
      <c r="X17" s="11">
        <v>180</v>
      </c>
      <c r="Y17" s="10">
        <v>43337</v>
      </c>
      <c r="Z17" s="11">
        <v>123456789</v>
      </c>
      <c r="AA17" s="12" t="s">
        <v>109</v>
      </c>
      <c r="AB17" s="11" t="s">
        <v>42</v>
      </c>
      <c r="AC17" s="12" t="s">
        <v>43</v>
      </c>
      <c r="AD17" s="11" t="s">
        <v>44</v>
      </c>
      <c r="AE17" s="12" t="s">
        <v>45</v>
      </c>
      <c r="AF17" s="14">
        <v>9.922700000000001E-2</v>
      </c>
      <c r="AG17" s="11" t="s">
        <v>66</v>
      </c>
    </row>
    <row r="18" spans="1:33" x14ac:dyDescent="0.2">
      <c r="A18" s="8">
        <v>5078</v>
      </c>
      <c r="B18" s="9" t="s">
        <v>91</v>
      </c>
      <c r="C18" s="10">
        <v>43337</v>
      </c>
      <c r="D18" s="11">
        <v>28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110</v>
      </c>
      <c r="J18" s="12" t="s">
        <v>111</v>
      </c>
      <c r="K18" s="13" t="s">
        <v>112</v>
      </c>
      <c r="L18" s="11" t="str">
        <f>"000069"</f>
        <v>000069</v>
      </c>
      <c r="M18" s="10">
        <v>43304</v>
      </c>
      <c r="N18" s="11" t="str">
        <f>"000053"</f>
        <v>000053</v>
      </c>
      <c r="O18" s="10">
        <v>43304</v>
      </c>
      <c r="P18" s="11" t="str">
        <f>"000129"</f>
        <v>000129</v>
      </c>
      <c r="Q18" s="10">
        <v>43304</v>
      </c>
      <c r="R18" s="11">
        <v>18</v>
      </c>
      <c r="S18" s="11" t="str">
        <f>"005252"</f>
        <v>005252</v>
      </c>
      <c r="T18" s="10">
        <v>43326</v>
      </c>
      <c r="U18" s="14">
        <v>39.630969999999998</v>
      </c>
      <c r="V18" s="14">
        <v>3.3285</v>
      </c>
      <c r="W18" s="14">
        <v>36.30247</v>
      </c>
      <c r="X18" s="11">
        <v>181</v>
      </c>
      <c r="Y18" s="10">
        <v>43337</v>
      </c>
      <c r="Z18" s="11">
        <v>123456789</v>
      </c>
      <c r="AA18" s="12" t="s">
        <v>105</v>
      </c>
      <c r="AB18" s="11" t="s">
        <v>64</v>
      </c>
      <c r="AC18" s="12" t="s">
        <v>65</v>
      </c>
      <c r="AD18" s="11" t="s">
        <v>44</v>
      </c>
      <c r="AE18" s="12" t="s">
        <v>45</v>
      </c>
      <c r="AF18" s="14">
        <v>0.39630969999999999</v>
      </c>
      <c r="AG18" s="11" t="s">
        <v>66</v>
      </c>
    </row>
    <row r="19" spans="1:33" x14ac:dyDescent="0.2">
      <c r="A19" s="8">
        <v>5079</v>
      </c>
      <c r="B19" s="9" t="s">
        <v>91</v>
      </c>
      <c r="C19" s="10">
        <v>43337</v>
      </c>
      <c r="D19" s="11">
        <v>28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113</v>
      </c>
      <c r="J19" s="12" t="s">
        <v>114</v>
      </c>
      <c r="K19" s="13" t="s">
        <v>40</v>
      </c>
      <c r="L19" s="11" t="str">
        <f>"000071"</f>
        <v>000071</v>
      </c>
      <c r="M19" s="10">
        <v>43304</v>
      </c>
      <c r="N19" s="11" t="str">
        <f>"000055"</f>
        <v>000055</v>
      </c>
      <c r="O19" s="10">
        <v>43304</v>
      </c>
      <c r="P19" s="11" t="str">
        <f>"000131"</f>
        <v>000131</v>
      </c>
      <c r="Q19" s="10">
        <v>43304</v>
      </c>
      <c r="R19" s="11">
        <v>18</v>
      </c>
      <c r="S19" s="11" t="str">
        <f>"005253"</f>
        <v>005253</v>
      </c>
      <c r="T19" s="10">
        <v>43326</v>
      </c>
      <c r="U19" s="14">
        <v>49.449950000000001</v>
      </c>
      <c r="V19" s="14">
        <v>4.7465000000000002</v>
      </c>
      <c r="W19" s="14">
        <v>44.703449999999997</v>
      </c>
      <c r="X19" s="11">
        <v>181</v>
      </c>
      <c r="Y19" s="10">
        <v>43337</v>
      </c>
      <c r="Z19" s="11">
        <v>123456789</v>
      </c>
      <c r="AA19" s="12" t="s">
        <v>115</v>
      </c>
      <c r="AB19" s="11" t="s">
        <v>64</v>
      </c>
      <c r="AC19" s="12" t="s">
        <v>65</v>
      </c>
      <c r="AD19" s="11" t="s">
        <v>44</v>
      </c>
      <c r="AE19" s="12" t="s">
        <v>45</v>
      </c>
      <c r="AF19" s="14">
        <v>0.49449950000000004</v>
      </c>
      <c r="AG19" s="11" t="s">
        <v>66</v>
      </c>
    </row>
    <row r="20" spans="1:33" x14ac:dyDescent="0.2">
      <c r="A20" s="8">
        <v>5080</v>
      </c>
      <c r="B20" s="9" t="s">
        <v>91</v>
      </c>
      <c r="C20" s="10">
        <v>43337</v>
      </c>
      <c r="D20" s="11">
        <v>28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116</v>
      </c>
      <c r="J20" s="12" t="s">
        <v>117</v>
      </c>
      <c r="K20" s="13" t="s">
        <v>40</v>
      </c>
      <c r="L20" s="11" t="str">
        <f>"000070"</f>
        <v>000070</v>
      </c>
      <c r="M20" s="10">
        <v>43304</v>
      </c>
      <c r="N20" s="11" t="str">
        <f>"000054"</f>
        <v>000054</v>
      </c>
      <c r="O20" s="10">
        <v>43304</v>
      </c>
      <c r="P20" s="11" t="str">
        <f>"000130"</f>
        <v>000130</v>
      </c>
      <c r="Q20" s="10">
        <v>43304</v>
      </c>
      <c r="R20" s="11">
        <v>18</v>
      </c>
      <c r="S20" s="11" t="str">
        <f>"005255"</f>
        <v>005255</v>
      </c>
      <c r="T20" s="10">
        <v>43326</v>
      </c>
      <c r="U20" s="14">
        <v>9.98292</v>
      </c>
      <c r="V20" s="14">
        <v>0.89100000000000001</v>
      </c>
      <c r="W20" s="14">
        <v>9.09192</v>
      </c>
      <c r="X20" s="11">
        <v>181</v>
      </c>
      <c r="Y20" s="10">
        <v>43337</v>
      </c>
      <c r="Z20" s="11">
        <v>123456789</v>
      </c>
      <c r="AA20" s="12" t="s">
        <v>118</v>
      </c>
      <c r="AB20" s="11" t="s">
        <v>64</v>
      </c>
      <c r="AC20" s="12" t="s">
        <v>65</v>
      </c>
      <c r="AD20" s="11" t="s">
        <v>44</v>
      </c>
      <c r="AE20" s="12" t="s">
        <v>45</v>
      </c>
      <c r="AF20" s="14">
        <v>9.9829200000000007E-2</v>
      </c>
      <c r="AG20" s="11" t="s">
        <v>66</v>
      </c>
    </row>
    <row r="21" spans="1:33" x14ac:dyDescent="0.2">
      <c r="A21" s="8">
        <v>5190</v>
      </c>
      <c r="B21" s="9" t="s">
        <v>119</v>
      </c>
      <c r="C21" s="10">
        <v>43346</v>
      </c>
      <c r="D21" s="11">
        <v>28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120</v>
      </c>
      <c r="J21" s="12" t="s">
        <v>121</v>
      </c>
      <c r="K21" s="13" t="s">
        <v>40</v>
      </c>
      <c r="L21" s="11" t="str">
        <f>"000066"</f>
        <v>000066</v>
      </c>
      <c r="M21" s="10">
        <v>43333</v>
      </c>
      <c r="N21" s="11" t="str">
        <f>"000111"</f>
        <v>000111</v>
      </c>
      <c r="O21" s="10">
        <v>43333</v>
      </c>
      <c r="P21" s="11" t="str">
        <f>"000111"</f>
        <v>000111</v>
      </c>
      <c r="Q21" s="10">
        <v>43333</v>
      </c>
      <c r="R21" s="11">
        <v>17</v>
      </c>
      <c r="S21" s="11" t="str">
        <f>"005583"</f>
        <v>005583</v>
      </c>
      <c r="T21" s="10">
        <v>43343</v>
      </c>
      <c r="U21" s="14">
        <v>6.8052000000000001</v>
      </c>
      <c r="V21" s="14">
        <v>0.21249999999999999</v>
      </c>
      <c r="W21" s="14">
        <v>6.5926999999999998</v>
      </c>
      <c r="X21" s="11">
        <v>186</v>
      </c>
      <c r="Y21" s="10">
        <v>43346</v>
      </c>
      <c r="Z21" s="11">
        <v>9880801223</v>
      </c>
      <c r="AA21" s="12" t="s">
        <v>122</v>
      </c>
      <c r="AB21" s="11" t="s">
        <v>84</v>
      </c>
      <c r="AC21" s="12" t="s">
        <v>85</v>
      </c>
      <c r="AD21" s="11" t="s">
        <v>75</v>
      </c>
      <c r="AE21" s="12" t="s">
        <v>76</v>
      </c>
      <c r="AF21" s="14">
        <f t="shared" ref="AF21:AF45" si="0">U21/100</f>
        <v>6.8052000000000001E-2</v>
      </c>
      <c r="AG21" s="11" t="s">
        <v>66</v>
      </c>
    </row>
    <row r="22" spans="1:33" x14ac:dyDescent="0.2">
      <c r="A22" s="8">
        <v>5610</v>
      </c>
      <c r="B22" s="9" t="s">
        <v>119</v>
      </c>
      <c r="C22" s="10">
        <v>43370</v>
      </c>
      <c r="D22" s="11">
        <v>28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123</v>
      </c>
      <c r="J22" s="12" t="s">
        <v>124</v>
      </c>
      <c r="K22" s="13" t="s">
        <v>49</v>
      </c>
      <c r="L22" s="11" t="str">
        <f>"000139"</f>
        <v>000139</v>
      </c>
      <c r="M22" s="10">
        <v>42605</v>
      </c>
      <c r="N22" s="11" t="str">
        <f>"000018"</f>
        <v>000018</v>
      </c>
      <c r="O22" s="10">
        <v>42842</v>
      </c>
      <c r="P22" s="11" t="str">
        <f>"000002"</f>
        <v>000002</v>
      </c>
      <c r="Q22" s="10">
        <v>42842</v>
      </c>
      <c r="R22" s="11">
        <v>16</v>
      </c>
      <c r="S22" s="11" t="str">
        <f>"005842"</f>
        <v>005842</v>
      </c>
      <c r="T22" s="10">
        <v>43363</v>
      </c>
      <c r="U22" s="14">
        <v>1.92567</v>
      </c>
      <c r="V22" s="14">
        <v>0.13750000000000001</v>
      </c>
      <c r="W22" s="14">
        <v>1.78817</v>
      </c>
      <c r="X22" s="11">
        <v>217</v>
      </c>
      <c r="Y22" s="10">
        <v>43370</v>
      </c>
      <c r="Z22" s="11">
        <v>123456789</v>
      </c>
      <c r="AA22" s="12" t="s">
        <v>125</v>
      </c>
      <c r="AB22" s="11" t="s">
        <v>42</v>
      </c>
      <c r="AC22" s="12" t="s">
        <v>43</v>
      </c>
      <c r="AD22" s="11" t="s">
        <v>44</v>
      </c>
      <c r="AE22" s="12" t="s">
        <v>45</v>
      </c>
      <c r="AF22" s="14">
        <f t="shared" si="0"/>
        <v>1.9256700000000002E-2</v>
      </c>
      <c r="AG22" s="11" t="s">
        <v>46</v>
      </c>
    </row>
    <row r="23" spans="1:33" x14ac:dyDescent="0.2">
      <c r="A23" s="8">
        <v>5611</v>
      </c>
      <c r="B23" s="9" t="s">
        <v>119</v>
      </c>
      <c r="C23" s="10">
        <v>43370</v>
      </c>
      <c r="D23" s="11">
        <v>28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126</v>
      </c>
      <c r="J23" s="12" t="s">
        <v>127</v>
      </c>
      <c r="K23" s="13" t="s">
        <v>40</v>
      </c>
      <c r="L23" s="11" t="str">
        <f>"000138"</f>
        <v>000138</v>
      </c>
      <c r="M23" s="10">
        <v>42605</v>
      </c>
      <c r="N23" s="11" t="str">
        <f>"000002"</f>
        <v>000002</v>
      </c>
      <c r="O23" s="10">
        <v>42836</v>
      </c>
      <c r="P23" s="11" t="str">
        <f>"000003"</f>
        <v>000003</v>
      </c>
      <c r="Q23" s="10">
        <v>42842</v>
      </c>
      <c r="R23" s="11">
        <v>16</v>
      </c>
      <c r="S23" s="11" t="str">
        <f>"005843"</f>
        <v>005843</v>
      </c>
      <c r="T23" s="10">
        <v>43363</v>
      </c>
      <c r="U23" s="14">
        <v>3.9049999999999998</v>
      </c>
      <c r="V23" s="14">
        <v>0.30715999999999999</v>
      </c>
      <c r="W23" s="14">
        <v>3.5978400000000001</v>
      </c>
      <c r="X23" s="11">
        <v>217</v>
      </c>
      <c r="Y23" s="10">
        <v>43370</v>
      </c>
      <c r="Z23" s="11">
        <v>123456789</v>
      </c>
      <c r="AA23" s="12" t="s">
        <v>125</v>
      </c>
      <c r="AB23" s="11" t="s">
        <v>42</v>
      </c>
      <c r="AC23" s="12" t="s">
        <v>43</v>
      </c>
      <c r="AD23" s="11" t="s">
        <v>44</v>
      </c>
      <c r="AE23" s="12" t="s">
        <v>45</v>
      </c>
      <c r="AF23" s="14">
        <f t="shared" si="0"/>
        <v>3.9050000000000001E-2</v>
      </c>
      <c r="AG23" s="11" t="s">
        <v>46</v>
      </c>
    </row>
    <row r="24" spans="1:33" x14ac:dyDescent="0.2">
      <c r="A24" s="8">
        <v>5612</v>
      </c>
      <c r="B24" s="9" t="s">
        <v>119</v>
      </c>
      <c r="C24" s="10">
        <v>43370</v>
      </c>
      <c r="D24" s="11">
        <v>28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128</v>
      </c>
      <c r="J24" s="12" t="s">
        <v>129</v>
      </c>
      <c r="K24" s="13" t="s">
        <v>40</v>
      </c>
      <c r="L24" s="11" t="str">
        <f>"000140"</f>
        <v>000140</v>
      </c>
      <c r="M24" s="10">
        <v>42605</v>
      </c>
      <c r="N24" s="11" t="str">
        <f>"000005"</f>
        <v>000005</v>
      </c>
      <c r="O24" s="10">
        <v>42836</v>
      </c>
      <c r="P24" s="11" t="str">
        <f>"000004"</f>
        <v>000004</v>
      </c>
      <c r="Q24" s="10">
        <v>42842</v>
      </c>
      <c r="R24" s="11">
        <v>16</v>
      </c>
      <c r="S24" s="11" t="str">
        <f>"005844"</f>
        <v>005844</v>
      </c>
      <c r="T24" s="10">
        <v>43363</v>
      </c>
      <c r="U24" s="14">
        <v>3.9047999999999998</v>
      </c>
      <c r="V24" s="14">
        <v>0.30715999999999999</v>
      </c>
      <c r="W24" s="14">
        <v>3.5976400000000002</v>
      </c>
      <c r="X24" s="11">
        <v>217</v>
      </c>
      <c r="Y24" s="10">
        <v>43370</v>
      </c>
      <c r="Z24" s="11">
        <v>123456789</v>
      </c>
      <c r="AA24" s="12" t="s">
        <v>125</v>
      </c>
      <c r="AB24" s="11" t="s">
        <v>42</v>
      </c>
      <c r="AC24" s="12" t="s">
        <v>43</v>
      </c>
      <c r="AD24" s="11" t="s">
        <v>44</v>
      </c>
      <c r="AE24" s="12" t="s">
        <v>45</v>
      </c>
      <c r="AF24" s="14">
        <f t="shared" si="0"/>
        <v>3.9047999999999999E-2</v>
      </c>
      <c r="AG24" s="11" t="s">
        <v>46</v>
      </c>
    </row>
    <row r="25" spans="1:33" x14ac:dyDescent="0.2">
      <c r="A25" s="8">
        <v>5824</v>
      </c>
      <c r="B25" s="9" t="s">
        <v>130</v>
      </c>
      <c r="C25" s="10">
        <v>43379</v>
      </c>
      <c r="D25" s="11">
        <v>28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131</v>
      </c>
      <c r="J25" s="12" t="s">
        <v>132</v>
      </c>
      <c r="K25" s="13" t="s">
        <v>49</v>
      </c>
      <c r="L25" s="11" t="str">
        <f>"000119"</f>
        <v>000119</v>
      </c>
      <c r="M25" s="10">
        <v>43362</v>
      </c>
      <c r="N25" s="11" t="str">
        <f>"000096"</f>
        <v>000096</v>
      </c>
      <c r="O25" s="10">
        <v>43362</v>
      </c>
      <c r="P25" s="11" t="str">
        <f>"000206"</f>
        <v>000206</v>
      </c>
      <c r="Q25" s="10">
        <v>43362</v>
      </c>
      <c r="R25" s="11">
        <v>18</v>
      </c>
      <c r="S25" s="11" t="str">
        <f>"006119"</f>
        <v>006119</v>
      </c>
      <c r="T25" s="10">
        <v>43376</v>
      </c>
      <c r="U25" s="14">
        <v>29.985800000000001</v>
      </c>
      <c r="V25" s="14">
        <v>2.7974999999999999</v>
      </c>
      <c r="W25" s="14">
        <v>27.188300000000002</v>
      </c>
      <c r="X25" s="11">
        <v>221</v>
      </c>
      <c r="Y25" s="10">
        <v>43379</v>
      </c>
      <c r="Z25" s="11">
        <v>123456789</v>
      </c>
      <c r="AA25" s="12" t="s">
        <v>105</v>
      </c>
      <c r="AB25" s="11" t="s">
        <v>95</v>
      </c>
      <c r="AC25" s="12" t="s">
        <v>96</v>
      </c>
      <c r="AD25" s="11" t="s">
        <v>44</v>
      </c>
      <c r="AE25" s="12" t="s">
        <v>45</v>
      </c>
      <c r="AF25" s="14">
        <f t="shared" si="0"/>
        <v>0.29985800000000001</v>
      </c>
      <c r="AG25" s="11" t="s">
        <v>66</v>
      </c>
    </row>
    <row r="26" spans="1:33" x14ac:dyDescent="0.2">
      <c r="A26" s="8">
        <v>5825</v>
      </c>
      <c r="B26" s="9" t="s">
        <v>130</v>
      </c>
      <c r="C26" s="10">
        <v>43379</v>
      </c>
      <c r="D26" s="11">
        <v>28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133</v>
      </c>
      <c r="J26" s="12" t="s">
        <v>134</v>
      </c>
      <c r="K26" s="13" t="s">
        <v>40</v>
      </c>
      <c r="L26" s="11" t="str">
        <f>"000118"</f>
        <v>000118</v>
      </c>
      <c r="M26" s="10">
        <v>43362</v>
      </c>
      <c r="N26" s="11" t="str">
        <f>"000095"</f>
        <v>000095</v>
      </c>
      <c r="O26" s="10">
        <v>43362</v>
      </c>
      <c r="P26" s="11" t="str">
        <f>"000205"</f>
        <v>000205</v>
      </c>
      <c r="Q26" s="10">
        <v>43362</v>
      </c>
      <c r="R26" s="11">
        <v>18</v>
      </c>
      <c r="S26" s="11" t="str">
        <f>"006121"</f>
        <v>006121</v>
      </c>
      <c r="T26" s="10">
        <v>43376</v>
      </c>
      <c r="U26" s="14">
        <v>29.984500000000001</v>
      </c>
      <c r="V26" s="14">
        <v>2.8214999999999999</v>
      </c>
      <c r="W26" s="14">
        <v>27.163</v>
      </c>
      <c r="X26" s="11">
        <v>221</v>
      </c>
      <c r="Y26" s="10">
        <v>43379</v>
      </c>
      <c r="Z26" s="11">
        <v>123456789</v>
      </c>
      <c r="AA26" s="12" t="s">
        <v>135</v>
      </c>
      <c r="AB26" s="11" t="s">
        <v>95</v>
      </c>
      <c r="AC26" s="12" t="s">
        <v>96</v>
      </c>
      <c r="AD26" s="11" t="s">
        <v>44</v>
      </c>
      <c r="AE26" s="12" t="s">
        <v>45</v>
      </c>
      <c r="AF26" s="14">
        <f t="shared" si="0"/>
        <v>0.29984500000000003</v>
      </c>
      <c r="AG26" s="11" t="s">
        <v>66</v>
      </c>
    </row>
    <row r="27" spans="1:33" x14ac:dyDescent="0.2">
      <c r="A27" s="8">
        <v>5826</v>
      </c>
      <c r="B27" s="9" t="s">
        <v>130</v>
      </c>
      <c r="C27" s="10">
        <v>43379</v>
      </c>
      <c r="D27" s="11">
        <v>28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136</v>
      </c>
      <c r="J27" s="12" t="s">
        <v>137</v>
      </c>
      <c r="K27" s="13" t="s">
        <v>40</v>
      </c>
      <c r="L27" s="11" t="str">
        <f>"000120"</f>
        <v>000120</v>
      </c>
      <c r="M27" s="10">
        <v>43365</v>
      </c>
      <c r="N27" s="11" t="str">
        <f>"000097"</f>
        <v>000097</v>
      </c>
      <c r="O27" s="10">
        <v>43365</v>
      </c>
      <c r="P27" s="11" t="str">
        <f>"000207"</f>
        <v>000207</v>
      </c>
      <c r="Q27" s="10">
        <v>43365</v>
      </c>
      <c r="R27" s="11">
        <v>18</v>
      </c>
      <c r="S27" s="11" t="str">
        <f>"006123"</f>
        <v>006123</v>
      </c>
      <c r="T27" s="10">
        <v>43376</v>
      </c>
      <c r="U27" s="14">
        <v>29.973330000000001</v>
      </c>
      <c r="V27" s="14">
        <v>2.8384999999999998</v>
      </c>
      <c r="W27" s="14">
        <v>27.134830000000001</v>
      </c>
      <c r="X27" s="11">
        <v>221</v>
      </c>
      <c r="Y27" s="10">
        <v>43379</v>
      </c>
      <c r="Z27" s="11">
        <v>123456789</v>
      </c>
      <c r="AA27" s="12" t="s">
        <v>138</v>
      </c>
      <c r="AB27" s="11" t="s">
        <v>95</v>
      </c>
      <c r="AC27" s="12" t="s">
        <v>96</v>
      </c>
      <c r="AD27" s="11" t="s">
        <v>44</v>
      </c>
      <c r="AE27" s="12" t="s">
        <v>45</v>
      </c>
      <c r="AF27" s="14">
        <f t="shared" si="0"/>
        <v>0.29973329999999998</v>
      </c>
      <c r="AG27" s="11" t="s">
        <v>66</v>
      </c>
    </row>
    <row r="28" spans="1:33" x14ac:dyDescent="0.2">
      <c r="A28" s="8">
        <v>5827</v>
      </c>
      <c r="B28" s="9" t="s">
        <v>130</v>
      </c>
      <c r="C28" s="10">
        <v>43379</v>
      </c>
      <c r="D28" s="11">
        <v>28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131</v>
      </c>
      <c r="J28" s="12" t="s">
        <v>132</v>
      </c>
      <c r="K28" s="13" t="s">
        <v>49</v>
      </c>
      <c r="L28" s="11" t="str">
        <f>"000119"</f>
        <v>000119</v>
      </c>
      <c r="M28" s="10">
        <v>43362</v>
      </c>
      <c r="N28" s="11" t="str">
        <f>"000096"</f>
        <v>000096</v>
      </c>
      <c r="O28" s="10">
        <v>43362</v>
      </c>
      <c r="P28" s="11" t="str">
        <f>"000206"</f>
        <v>000206</v>
      </c>
      <c r="Q28" s="10">
        <v>43362</v>
      </c>
      <c r="R28" s="11">
        <v>18</v>
      </c>
      <c r="S28" s="11" t="str">
        <f>"006119"</f>
        <v>006119</v>
      </c>
      <c r="T28" s="10">
        <v>43376</v>
      </c>
      <c r="U28" s="14">
        <v>29.985800000000001</v>
      </c>
      <c r="V28" s="14">
        <v>2.7974999999999999</v>
      </c>
      <c r="W28" s="14">
        <v>27.188300000000002</v>
      </c>
      <c r="X28" s="11">
        <v>221</v>
      </c>
      <c r="Y28" s="10">
        <v>43379</v>
      </c>
      <c r="Z28" s="11">
        <v>123456789</v>
      </c>
      <c r="AA28" s="12" t="s">
        <v>105</v>
      </c>
      <c r="AB28" s="11" t="s">
        <v>95</v>
      </c>
      <c r="AC28" s="12" t="s">
        <v>96</v>
      </c>
      <c r="AD28" s="11" t="s">
        <v>44</v>
      </c>
      <c r="AE28" s="12" t="s">
        <v>45</v>
      </c>
      <c r="AF28" s="14">
        <f t="shared" si="0"/>
        <v>0.29985800000000001</v>
      </c>
      <c r="AG28" s="11" t="s">
        <v>66</v>
      </c>
    </row>
    <row r="29" spans="1:33" x14ac:dyDescent="0.2">
      <c r="A29" s="8">
        <v>5828</v>
      </c>
      <c r="B29" s="9" t="s">
        <v>130</v>
      </c>
      <c r="C29" s="10">
        <v>43379</v>
      </c>
      <c r="D29" s="11">
        <v>28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133</v>
      </c>
      <c r="J29" s="12" t="s">
        <v>134</v>
      </c>
      <c r="K29" s="13" t="s">
        <v>40</v>
      </c>
      <c r="L29" s="11" t="str">
        <f>"000118"</f>
        <v>000118</v>
      </c>
      <c r="M29" s="10">
        <v>43362</v>
      </c>
      <c r="N29" s="11" t="str">
        <f>"000095"</f>
        <v>000095</v>
      </c>
      <c r="O29" s="10">
        <v>43362</v>
      </c>
      <c r="P29" s="11" t="str">
        <f>"000205"</f>
        <v>000205</v>
      </c>
      <c r="Q29" s="10">
        <v>43362</v>
      </c>
      <c r="R29" s="11">
        <v>18</v>
      </c>
      <c r="S29" s="11" t="str">
        <f>"006121"</f>
        <v>006121</v>
      </c>
      <c r="T29" s="10">
        <v>43376</v>
      </c>
      <c r="U29" s="14">
        <v>29.984500000000001</v>
      </c>
      <c r="V29" s="14">
        <v>2.8214999999999999</v>
      </c>
      <c r="W29" s="14">
        <v>27.163</v>
      </c>
      <c r="X29" s="11">
        <v>221</v>
      </c>
      <c r="Y29" s="10">
        <v>43379</v>
      </c>
      <c r="Z29" s="11">
        <v>123456789</v>
      </c>
      <c r="AA29" s="12" t="s">
        <v>135</v>
      </c>
      <c r="AB29" s="11" t="s">
        <v>95</v>
      </c>
      <c r="AC29" s="12" t="s">
        <v>96</v>
      </c>
      <c r="AD29" s="11" t="s">
        <v>44</v>
      </c>
      <c r="AE29" s="12" t="s">
        <v>45</v>
      </c>
      <c r="AF29" s="14">
        <f t="shared" si="0"/>
        <v>0.29984500000000003</v>
      </c>
      <c r="AG29" s="11" t="s">
        <v>66</v>
      </c>
    </row>
    <row r="30" spans="1:33" x14ac:dyDescent="0.2">
      <c r="A30" s="8">
        <v>5829</v>
      </c>
      <c r="B30" s="9" t="s">
        <v>130</v>
      </c>
      <c r="C30" s="10">
        <v>43379</v>
      </c>
      <c r="D30" s="11">
        <v>28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136</v>
      </c>
      <c r="J30" s="12" t="s">
        <v>137</v>
      </c>
      <c r="K30" s="13" t="s">
        <v>40</v>
      </c>
      <c r="L30" s="11" t="str">
        <f>"000120"</f>
        <v>000120</v>
      </c>
      <c r="M30" s="10">
        <v>43365</v>
      </c>
      <c r="N30" s="11" t="str">
        <f>"000097"</f>
        <v>000097</v>
      </c>
      <c r="O30" s="10">
        <v>43365</v>
      </c>
      <c r="P30" s="11" t="str">
        <f>"000207"</f>
        <v>000207</v>
      </c>
      <c r="Q30" s="10">
        <v>43365</v>
      </c>
      <c r="R30" s="11">
        <v>18</v>
      </c>
      <c r="S30" s="11" t="str">
        <f>"006123"</f>
        <v>006123</v>
      </c>
      <c r="T30" s="10">
        <v>43376</v>
      </c>
      <c r="U30" s="14">
        <v>29.973330000000001</v>
      </c>
      <c r="V30" s="14">
        <v>2.8384999999999998</v>
      </c>
      <c r="W30" s="14">
        <v>27.134830000000001</v>
      </c>
      <c r="X30" s="11">
        <v>221</v>
      </c>
      <c r="Y30" s="10">
        <v>43379</v>
      </c>
      <c r="Z30" s="11">
        <v>123456789</v>
      </c>
      <c r="AA30" s="12" t="s">
        <v>138</v>
      </c>
      <c r="AB30" s="11" t="s">
        <v>95</v>
      </c>
      <c r="AC30" s="12" t="s">
        <v>96</v>
      </c>
      <c r="AD30" s="11" t="s">
        <v>44</v>
      </c>
      <c r="AE30" s="12" t="s">
        <v>45</v>
      </c>
      <c r="AF30" s="14">
        <f t="shared" si="0"/>
        <v>0.29973329999999998</v>
      </c>
      <c r="AG30" s="11" t="s">
        <v>66</v>
      </c>
    </row>
    <row r="31" spans="1:33" x14ac:dyDescent="0.2">
      <c r="A31" s="8">
        <v>6501</v>
      </c>
      <c r="B31" s="9" t="s">
        <v>130</v>
      </c>
      <c r="C31" s="10">
        <v>43389</v>
      </c>
      <c r="D31" s="11">
        <v>28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139</v>
      </c>
      <c r="J31" s="12" t="s">
        <v>140</v>
      </c>
      <c r="K31" s="15" t="s">
        <v>112</v>
      </c>
      <c r="L31" s="11" t="str">
        <f>"000104"</f>
        <v>000104</v>
      </c>
      <c r="M31" s="10">
        <v>42993</v>
      </c>
      <c r="N31" s="11" t="str">
        <f>"000100"</f>
        <v>000100</v>
      </c>
      <c r="O31" s="10">
        <v>43139</v>
      </c>
      <c r="P31" s="11" t="str">
        <f>"000352"</f>
        <v>000352</v>
      </c>
      <c r="Q31" s="10">
        <v>43139</v>
      </c>
      <c r="R31" s="11">
        <v>17</v>
      </c>
      <c r="S31" s="11" t="str">
        <f>"006641"</f>
        <v>006641</v>
      </c>
      <c r="T31" s="10">
        <v>43385</v>
      </c>
      <c r="U31" s="14">
        <v>14.71143</v>
      </c>
      <c r="V31" s="14">
        <v>1.2549999999999999</v>
      </c>
      <c r="W31" s="14">
        <v>13.456429999999999</v>
      </c>
      <c r="X31" s="11">
        <v>241</v>
      </c>
      <c r="Y31" s="10">
        <v>43389</v>
      </c>
      <c r="Z31" s="11">
        <v>123456789</v>
      </c>
      <c r="AA31" s="12" t="s">
        <v>141</v>
      </c>
      <c r="AB31" s="11" t="s">
        <v>142</v>
      </c>
      <c r="AC31" s="12" t="s">
        <v>143</v>
      </c>
      <c r="AD31" s="11" t="s">
        <v>44</v>
      </c>
      <c r="AE31" s="12" t="s">
        <v>45</v>
      </c>
      <c r="AF31" s="14">
        <f t="shared" si="0"/>
        <v>0.1471143</v>
      </c>
      <c r="AG31" s="11" t="s">
        <v>46</v>
      </c>
    </row>
    <row r="32" spans="1:33" x14ac:dyDescent="0.2">
      <c r="A32" s="8">
        <v>6908</v>
      </c>
      <c r="B32" s="9" t="s">
        <v>130</v>
      </c>
      <c r="C32" s="10">
        <v>43402</v>
      </c>
      <c r="D32" s="11">
        <v>28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144</v>
      </c>
      <c r="J32" s="12" t="s">
        <v>145</v>
      </c>
      <c r="K32" s="13" t="s">
        <v>49</v>
      </c>
      <c r="L32" s="11" t="str">
        <f>"000124"</f>
        <v>000124</v>
      </c>
      <c r="M32" s="10">
        <v>43371</v>
      </c>
      <c r="N32" s="11" t="str">
        <f>"000144"</f>
        <v>000144</v>
      </c>
      <c r="O32" s="10">
        <v>43426</v>
      </c>
      <c r="P32" s="11" t="str">
        <f>"000266"</f>
        <v>000266</v>
      </c>
      <c r="Q32" s="10">
        <v>43426</v>
      </c>
      <c r="R32" s="11">
        <v>17</v>
      </c>
      <c r="S32" s="11" t="str">
        <f>"008450"</f>
        <v>008450</v>
      </c>
      <c r="T32" s="10">
        <v>43463</v>
      </c>
      <c r="U32" s="14">
        <v>354.91086000000001</v>
      </c>
      <c r="V32" s="14">
        <v>18.334990000000001</v>
      </c>
      <c r="W32" s="14">
        <v>336.57587000000001</v>
      </c>
      <c r="X32" s="11">
        <v>252</v>
      </c>
      <c r="Y32" s="10">
        <v>43402</v>
      </c>
      <c r="Z32" s="11">
        <v>7975499851</v>
      </c>
      <c r="AA32" s="12" t="s">
        <v>146</v>
      </c>
      <c r="AB32" s="11" t="s">
        <v>147</v>
      </c>
      <c r="AC32" s="12" t="s">
        <v>148</v>
      </c>
      <c r="AD32" s="11" t="s">
        <v>44</v>
      </c>
      <c r="AE32" s="12" t="s">
        <v>45</v>
      </c>
      <c r="AF32" s="14">
        <f t="shared" si="0"/>
        <v>3.5491086000000003</v>
      </c>
      <c r="AG32" s="11" t="s">
        <v>66</v>
      </c>
    </row>
    <row r="33" spans="1:33" x14ac:dyDescent="0.2">
      <c r="A33" s="8">
        <v>6978</v>
      </c>
      <c r="B33" s="9" t="s">
        <v>130</v>
      </c>
      <c r="C33" s="10">
        <v>43403</v>
      </c>
      <c r="D33" s="11">
        <v>28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149</v>
      </c>
      <c r="J33" s="12" t="s">
        <v>150</v>
      </c>
      <c r="K33" s="13" t="s">
        <v>151</v>
      </c>
      <c r="L33" s="11" t="str">
        <f>"000056"</f>
        <v>000056</v>
      </c>
      <c r="M33" s="10">
        <v>42566</v>
      </c>
      <c r="N33" s="11" t="str">
        <f>"000048"</f>
        <v>000048</v>
      </c>
      <c r="O33" s="10">
        <v>42965</v>
      </c>
      <c r="P33" s="11" t="str">
        <f>"000137"</f>
        <v>000137</v>
      </c>
      <c r="Q33" s="10">
        <v>42965</v>
      </c>
      <c r="R33" s="11">
        <v>15</v>
      </c>
      <c r="S33" s="11" t="str">
        <f>"006973"</f>
        <v>006973</v>
      </c>
      <c r="T33" s="10">
        <v>43399</v>
      </c>
      <c r="U33" s="14">
        <v>0.70004</v>
      </c>
      <c r="V33" s="14">
        <v>9.5299999999999996E-2</v>
      </c>
      <c r="W33" s="14">
        <v>0.60474000000000006</v>
      </c>
      <c r="X33" s="11">
        <v>253</v>
      </c>
      <c r="Y33" s="10">
        <v>43403</v>
      </c>
      <c r="Z33" s="11">
        <v>9901801661</v>
      </c>
      <c r="AA33" s="12" t="s">
        <v>88</v>
      </c>
      <c r="AB33" s="11" t="s">
        <v>152</v>
      </c>
      <c r="AC33" s="12" t="s">
        <v>153</v>
      </c>
      <c r="AD33" s="11" t="s">
        <v>75</v>
      </c>
      <c r="AE33" s="12" t="s">
        <v>76</v>
      </c>
      <c r="AF33" s="14">
        <f t="shared" si="0"/>
        <v>7.0004000000000004E-3</v>
      </c>
      <c r="AG33" s="11" t="s">
        <v>46</v>
      </c>
    </row>
    <row r="34" spans="1:33" x14ac:dyDescent="0.2">
      <c r="A34" s="8">
        <v>7310</v>
      </c>
      <c r="B34" s="9" t="s">
        <v>154</v>
      </c>
      <c r="C34" s="10">
        <v>43424</v>
      </c>
      <c r="D34" s="11">
        <v>28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155</v>
      </c>
      <c r="J34" s="12" t="s">
        <v>156</v>
      </c>
      <c r="K34" s="13" t="s">
        <v>157</v>
      </c>
      <c r="L34" s="11" t="str">
        <f>"000016"</f>
        <v>000016</v>
      </c>
      <c r="M34" s="10">
        <v>43237</v>
      </c>
      <c r="N34" s="11" t="str">
        <f>"000017"</f>
        <v>000017</v>
      </c>
      <c r="O34" s="10">
        <v>43237</v>
      </c>
      <c r="P34" s="11" t="str">
        <f>"000037"</f>
        <v>000037</v>
      </c>
      <c r="Q34" s="10">
        <v>43237</v>
      </c>
      <c r="R34" s="11">
        <v>18</v>
      </c>
      <c r="S34" s="11" t="str">
        <f>"007209"</f>
        <v>007209</v>
      </c>
      <c r="T34" s="10">
        <v>43404</v>
      </c>
      <c r="U34" s="14">
        <v>34.789169999999999</v>
      </c>
      <c r="V34" s="14">
        <v>3.1585000000000001</v>
      </c>
      <c r="W34" s="14">
        <v>31.630669999999999</v>
      </c>
      <c r="X34" s="11">
        <v>271</v>
      </c>
      <c r="Y34" s="10">
        <v>43424</v>
      </c>
      <c r="Z34" s="11">
        <v>123456789</v>
      </c>
      <c r="AA34" s="12" t="s">
        <v>158</v>
      </c>
      <c r="AB34" s="11" t="s">
        <v>159</v>
      </c>
      <c r="AC34" s="12" t="s">
        <v>160</v>
      </c>
      <c r="AD34" s="11" t="s">
        <v>44</v>
      </c>
      <c r="AE34" s="12" t="s">
        <v>45</v>
      </c>
      <c r="AF34" s="14">
        <f t="shared" si="0"/>
        <v>0.34789169999999997</v>
      </c>
      <c r="AG34" s="11" t="s">
        <v>66</v>
      </c>
    </row>
    <row r="35" spans="1:33" x14ac:dyDescent="0.2">
      <c r="A35" s="8">
        <v>7703</v>
      </c>
      <c r="B35" s="9" t="s">
        <v>161</v>
      </c>
      <c r="C35" s="10">
        <v>43448</v>
      </c>
      <c r="D35" s="11">
        <v>28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162</v>
      </c>
      <c r="J35" s="12" t="s">
        <v>163</v>
      </c>
      <c r="K35" s="13" t="s">
        <v>58</v>
      </c>
      <c r="L35" s="11" t="str">
        <f>"000058"</f>
        <v>000058</v>
      </c>
      <c r="M35" s="10">
        <v>42947</v>
      </c>
      <c r="N35" s="11" t="str">
        <f>"000053"</f>
        <v>000053</v>
      </c>
      <c r="O35" s="10">
        <v>43041</v>
      </c>
      <c r="P35" s="11" t="str">
        <f>"000042"</f>
        <v>000042</v>
      </c>
      <c r="Q35" s="10">
        <v>43041</v>
      </c>
      <c r="R35" s="11">
        <v>17</v>
      </c>
      <c r="S35" s="11" t="str">
        <f>"007828"</f>
        <v>007828</v>
      </c>
      <c r="T35" s="10">
        <v>43444</v>
      </c>
      <c r="U35" s="14">
        <v>1.7414099999999999</v>
      </c>
      <c r="V35" s="14">
        <v>8.9620000000000005E-2</v>
      </c>
      <c r="W35" s="14">
        <v>1.6517900000000001</v>
      </c>
      <c r="X35" s="11">
        <v>292</v>
      </c>
      <c r="Y35" s="10">
        <v>43448</v>
      </c>
      <c r="Z35" s="11">
        <v>8904148945</v>
      </c>
      <c r="AA35" s="12" t="s">
        <v>164</v>
      </c>
      <c r="AB35" s="11" t="s">
        <v>165</v>
      </c>
      <c r="AC35" s="12" t="s">
        <v>166</v>
      </c>
      <c r="AD35" s="11" t="s">
        <v>75</v>
      </c>
      <c r="AE35" s="12" t="s">
        <v>76</v>
      </c>
      <c r="AF35" s="14">
        <f t="shared" si="0"/>
        <v>1.7414099999999998E-2</v>
      </c>
      <c r="AG35" s="11" t="s">
        <v>46</v>
      </c>
    </row>
    <row r="36" spans="1:33" x14ac:dyDescent="0.2">
      <c r="A36" s="8">
        <v>8167</v>
      </c>
      <c r="B36" s="9" t="s">
        <v>167</v>
      </c>
      <c r="C36" s="10">
        <v>43466</v>
      </c>
      <c r="D36" s="11">
        <v>28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144</v>
      </c>
      <c r="J36" s="12" t="s">
        <v>145</v>
      </c>
      <c r="K36" s="13" t="s">
        <v>49</v>
      </c>
      <c r="L36" s="11" t="str">
        <f>"000124"</f>
        <v>000124</v>
      </c>
      <c r="M36" s="10">
        <v>43371</v>
      </c>
      <c r="N36" s="11" t="str">
        <f>"000144"</f>
        <v>000144</v>
      </c>
      <c r="O36" s="10">
        <v>43426</v>
      </c>
      <c r="P36" s="11" t="str">
        <f>"000266"</f>
        <v>000266</v>
      </c>
      <c r="Q36" s="10">
        <v>43426</v>
      </c>
      <c r="R36" s="11"/>
      <c r="S36" s="11" t="str">
        <f>"008450"</f>
        <v>008450</v>
      </c>
      <c r="T36" s="10">
        <v>43463</v>
      </c>
      <c r="U36" s="14">
        <v>9.75</v>
      </c>
      <c r="V36" s="14">
        <v>1.17</v>
      </c>
      <c r="W36" s="14">
        <v>8.58</v>
      </c>
      <c r="X36" s="11">
        <v>308</v>
      </c>
      <c r="Y36" s="10">
        <v>43466</v>
      </c>
      <c r="Z36" s="11">
        <v>123456789</v>
      </c>
      <c r="AA36" s="12" t="s">
        <v>168</v>
      </c>
      <c r="AB36" s="11" t="s">
        <v>147</v>
      </c>
      <c r="AC36" s="12" t="s">
        <v>148</v>
      </c>
      <c r="AD36" s="11" t="s">
        <v>44</v>
      </c>
      <c r="AE36" s="12" t="s">
        <v>45</v>
      </c>
      <c r="AF36" s="14">
        <f t="shared" si="0"/>
        <v>9.7500000000000003E-2</v>
      </c>
      <c r="AG36" s="11" t="s">
        <v>66</v>
      </c>
    </row>
    <row r="37" spans="1:33" x14ac:dyDescent="0.2">
      <c r="A37" s="8">
        <v>8297</v>
      </c>
      <c r="B37" s="9" t="s">
        <v>167</v>
      </c>
      <c r="C37" s="10">
        <v>43466</v>
      </c>
      <c r="D37" s="11">
        <v>28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144</v>
      </c>
      <c r="J37" s="12" t="s">
        <v>145</v>
      </c>
      <c r="K37" s="13" t="s">
        <v>49</v>
      </c>
      <c r="L37" s="11" t="str">
        <f>"000124"</f>
        <v>000124</v>
      </c>
      <c r="M37" s="10">
        <v>43371</v>
      </c>
      <c r="N37" s="11" t="str">
        <f>"000144"</f>
        <v>000144</v>
      </c>
      <c r="O37" s="10">
        <v>43426</v>
      </c>
      <c r="P37" s="11" t="str">
        <f>"000266"</f>
        <v>000266</v>
      </c>
      <c r="Q37" s="10">
        <v>43426</v>
      </c>
      <c r="R37" s="11"/>
      <c r="S37" s="11" t="str">
        <f>"008450"</f>
        <v>008450</v>
      </c>
      <c r="T37" s="10">
        <v>43463</v>
      </c>
      <c r="U37" s="14">
        <v>563.62630999999999</v>
      </c>
      <c r="V37" s="14">
        <v>30.67531</v>
      </c>
      <c r="W37" s="14">
        <v>532.95100000000002</v>
      </c>
      <c r="X37" s="11">
        <v>309</v>
      </c>
      <c r="Y37" s="10">
        <v>43466</v>
      </c>
      <c r="Z37" s="11">
        <v>7975499851</v>
      </c>
      <c r="AA37" s="12" t="s">
        <v>146</v>
      </c>
      <c r="AB37" s="11" t="s">
        <v>147</v>
      </c>
      <c r="AC37" s="12" t="s">
        <v>148</v>
      </c>
      <c r="AD37" s="11" t="s">
        <v>44</v>
      </c>
      <c r="AE37" s="12" t="s">
        <v>45</v>
      </c>
      <c r="AF37" s="14">
        <f t="shared" si="0"/>
        <v>5.6362630999999999</v>
      </c>
      <c r="AG37" s="11" t="s">
        <v>66</v>
      </c>
    </row>
    <row r="38" spans="1:33" x14ac:dyDescent="0.2">
      <c r="A38" s="8">
        <v>8432</v>
      </c>
      <c r="B38" s="9" t="s">
        <v>167</v>
      </c>
      <c r="C38" s="10">
        <v>43472</v>
      </c>
      <c r="D38" s="11">
        <v>28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81</v>
      </c>
      <c r="J38" s="12" t="s">
        <v>82</v>
      </c>
      <c r="K38" s="13" t="s">
        <v>40</v>
      </c>
      <c r="L38" s="11" t="str">
        <f>"000128"</f>
        <v>000128</v>
      </c>
      <c r="M38" s="10">
        <v>43023</v>
      </c>
      <c r="N38" s="11" t="str">
        <f>"000148"</f>
        <v>000148</v>
      </c>
      <c r="O38" s="10">
        <v>43434</v>
      </c>
      <c r="P38" s="11" t="str">
        <f>"000273"</f>
        <v>000273</v>
      </c>
      <c r="Q38" s="10">
        <v>43434</v>
      </c>
      <c r="R38" s="11"/>
      <c r="S38" s="11" t="str">
        <f>"008558"</f>
        <v>008558</v>
      </c>
      <c r="T38" s="10">
        <v>43470</v>
      </c>
      <c r="U38" s="14">
        <v>5.8220900000000002</v>
      </c>
      <c r="V38" s="14">
        <v>0.18048</v>
      </c>
      <c r="W38" s="14">
        <v>5.64161</v>
      </c>
      <c r="X38" s="11">
        <v>316</v>
      </c>
      <c r="Y38" s="10">
        <v>43472</v>
      </c>
      <c r="Z38" s="11">
        <v>123456789</v>
      </c>
      <c r="AA38" s="12" t="s">
        <v>83</v>
      </c>
      <c r="AB38" s="11" t="s">
        <v>84</v>
      </c>
      <c r="AC38" s="12" t="s">
        <v>85</v>
      </c>
      <c r="AD38" s="11" t="s">
        <v>44</v>
      </c>
      <c r="AE38" s="12" t="s">
        <v>45</v>
      </c>
      <c r="AF38" s="14">
        <f t="shared" si="0"/>
        <v>5.8220899999999999E-2</v>
      </c>
      <c r="AG38" s="11" t="s">
        <v>77</v>
      </c>
    </row>
    <row r="39" spans="1:33" x14ac:dyDescent="0.2">
      <c r="A39" s="8">
        <v>8573</v>
      </c>
      <c r="B39" s="9" t="s">
        <v>167</v>
      </c>
      <c r="C39" s="10">
        <v>43479</v>
      </c>
      <c r="D39" s="11">
        <v>28</v>
      </c>
      <c r="E39" s="12" t="s">
        <v>34</v>
      </c>
      <c r="F39" s="12" t="s">
        <v>35</v>
      </c>
      <c r="G39" s="12" t="s">
        <v>36</v>
      </c>
      <c r="H39" s="12" t="s">
        <v>37</v>
      </c>
      <c r="I39" s="11" t="s">
        <v>169</v>
      </c>
      <c r="J39" s="12" t="s">
        <v>170</v>
      </c>
      <c r="K39" s="13" t="s">
        <v>171</v>
      </c>
      <c r="L39" s="11" t="str">
        <f>"000008"</f>
        <v>000008</v>
      </c>
      <c r="M39" s="10">
        <v>43369</v>
      </c>
      <c r="N39" s="11" t="str">
        <f>"000025"</f>
        <v>000025</v>
      </c>
      <c r="O39" s="10">
        <v>43460</v>
      </c>
      <c r="P39" s="11" t="str">
        <f>"000224"</f>
        <v>000224</v>
      </c>
      <c r="Q39" s="10">
        <v>43460</v>
      </c>
      <c r="R39" s="11"/>
      <c r="S39" s="11" t="str">
        <f>"008692"</f>
        <v>008692</v>
      </c>
      <c r="T39" s="10">
        <v>43476</v>
      </c>
      <c r="U39" s="14">
        <v>108.38</v>
      </c>
      <c r="V39" s="14">
        <v>8.2894600000000001</v>
      </c>
      <c r="W39" s="14">
        <v>100.09054</v>
      </c>
      <c r="X39" s="11">
        <v>322</v>
      </c>
      <c r="Y39" s="10">
        <v>43479</v>
      </c>
      <c r="Z39" s="11">
        <v>9886078454</v>
      </c>
      <c r="AA39" s="12" t="s">
        <v>172</v>
      </c>
      <c r="AB39" s="11" t="s">
        <v>159</v>
      </c>
      <c r="AC39" s="12" t="s">
        <v>160</v>
      </c>
      <c r="AD39" s="11" t="s">
        <v>53</v>
      </c>
      <c r="AE39" s="12" t="s">
        <v>54</v>
      </c>
      <c r="AF39" s="14">
        <f t="shared" si="0"/>
        <v>1.0837999999999999</v>
      </c>
      <c r="AG39" s="11" t="s">
        <v>66</v>
      </c>
    </row>
    <row r="40" spans="1:33" x14ac:dyDescent="0.2">
      <c r="A40" s="8">
        <v>9110</v>
      </c>
      <c r="B40" s="9" t="s">
        <v>173</v>
      </c>
      <c r="C40" s="10">
        <v>43508</v>
      </c>
      <c r="D40" s="11">
        <v>28</v>
      </c>
      <c r="E40" s="12" t="s">
        <v>34</v>
      </c>
      <c r="F40" s="12" t="s">
        <v>35</v>
      </c>
      <c r="G40" s="12" t="s">
        <v>36</v>
      </c>
      <c r="H40" s="12" t="s">
        <v>37</v>
      </c>
      <c r="I40" s="11" t="s">
        <v>174</v>
      </c>
      <c r="J40" s="12" t="s">
        <v>175</v>
      </c>
      <c r="K40" s="13" t="s">
        <v>49</v>
      </c>
      <c r="L40" s="11" t="str">
        <f>"000209"</f>
        <v>000209</v>
      </c>
      <c r="M40" s="10">
        <v>42800</v>
      </c>
      <c r="N40" s="11" t="str">
        <f>"000024"</f>
        <v>000024</v>
      </c>
      <c r="O40" s="10">
        <v>42849</v>
      </c>
      <c r="P40" s="11" t="str">
        <f>"000191"</f>
        <v>000191</v>
      </c>
      <c r="Q40" s="10">
        <v>42914</v>
      </c>
      <c r="R40" s="11"/>
      <c r="S40" s="11" t="str">
        <f>"009136"</f>
        <v>009136</v>
      </c>
      <c r="T40" s="10">
        <v>43503</v>
      </c>
      <c r="U40" s="14">
        <v>15.76769</v>
      </c>
      <c r="V40" s="14">
        <v>1.1712400000000001</v>
      </c>
      <c r="W40" s="14">
        <v>14.596450000000001</v>
      </c>
      <c r="X40" s="11">
        <v>349</v>
      </c>
      <c r="Y40" s="10">
        <v>43508</v>
      </c>
      <c r="Z40" s="11">
        <v>9880969199</v>
      </c>
      <c r="AA40" s="12" t="s">
        <v>176</v>
      </c>
      <c r="AB40" s="11" t="s">
        <v>42</v>
      </c>
      <c r="AC40" s="12" t="s">
        <v>43</v>
      </c>
      <c r="AD40" s="11" t="s">
        <v>44</v>
      </c>
      <c r="AE40" s="12" t="s">
        <v>45</v>
      </c>
      <c r="AF40" s="14">
        <f t="shared" si="0"/>
        <v>0.15767690000000001</v>
      </c>
      <c r="AG40" s="11" t="s">
        <v>46</v>
      </c>
    </row>
    <row r="41" spans="1:33" x14ac:dyDescent="0.2">
      <c r="A41" s="8">
        <v>9111</v>
      </c>
      <c r="B41" s="9" t="s">
        <v>173</v>
      </c>
      <c r="C41" s="10">
        <v>43508</v>
      </c>
      <c r="D41" s="11">
        <v>28</v>
      </c>
      <c r="E41" s="12" t="s">
        <v>34</v>
      </c>
      <c r="F41" s="12" t="s">
        <v>35</v>
      </c>
      <c r="G41" s="12" t="s">
        <v>36</v>
      </c>
      <c r="H41" s="12" t="s">
        <v>37</v>
      </c>
      <c r="I41" s="11" t="s">
        <v>177</v>
      </c>
      <c r="J41" s="12" t="s">
        <v>178</v>
      </c>
      <c r="K41" s="13" t="s">
        <v>40</v>
      </c>
      <c r="L41" s="11" t="str">
        <f>"000207"</f>
        <v>000207</v>
      </c>
      <c r="M41" s="10">
        <v>42800</v>
      </c>
      <c r="N41" s="11" t="str">
        <f>"000025"</f>
        <v>000025</v>
      </c>
      <c r="O41" s="10">
        <v>42849</v>
      </c>
      <c r="P41" s="11" t="str">
        <f>"000192"</f>
        <v>000192</v>
      </c>
      <c r="Q41" s="10">
        <v>42914</v>
      </c>
      <c r="R41" s="11"/>
      <c r="S41" s="11" t="str">
        <f>"009137"</f>
        <v>009137</v>
      </c>
      <c r="T41" s="10">
        <v>43503</v>
      </c>
      <c r="U41" s="14">
        <v>9.3405000000000005</v>
      </c>
      <c r="V41" s="14">
        <v>0.69311999999999996</v>
      </c>
      <c r="W41" s="14">
        <v>8.6473800000000001</v>
      </c>
      <c r="X41" s="11">
        <v>349</v>
      </c>
      <c r="Y41" s="10">
        <v>43508</v>
      </c>
      <c r="Z41" s="11">
        <v>9880969199</v>
      </c>
      <c r="AA41" s="12" t="s">
        <v>176</v>
      </c>
      <c r="AB41" s="11" t="s">
        <v>42</v>
      </c>
      <c r="AC41" s="12" t="s">
        <v>43</v>
      </c>
      <c r="AD41" s="11" t="s">
        <v>44</v>
      </c>
      <c r="AE41" s="12" t="s">
        <v>45</v>
      </c>
      <c r="AF41" s="14">
        <f t="shared" si="0"/>
        <v>9.3405000000000002E-2</v>
      </c>
      <c r="AG41" s="11" t="s">
        <v>46</v>
      </c>
    </row>
    <row r="42" spans="1:33" x14ac:dyDescent="0.2">
      <c r="A42" s="8">
        <v>9431</v>
      </c>
      <c r="B42" s="9" t="s">
        <v>179</v>
      </c>
      <c r="C42" s="10">
        <v>43526</v>
      </c>
      <c r="D42" s="11">
        <v>28</v>
      </c>
      <c r="E42" s="12" t="s">
        <v>34</v>
      </c>
      <c r="F42" s="12" t="s">
        <v>35</v>
      </c>
      <c r="G42" s="12" t="s">
        <v>36</v>
      </c>
      <c r="H42" s="12" t="s">
        <v>37</v>
      </c>
      <c r="I42" s="11" t="s">
        <v>180</v>
      </c>
      <c r="J42" s="12" t="s">
        <v>181</v>
      </c>
      <c r="K42" s="13" t="s">
        <v>157</v>
      </c>
      <c r="L42" s="11" t="str">
        <f>"000166"</f>
        <v>000166</v>
      </c>
      <c r="M42" s="10">
        <v>43392</v>
      </c>
      <c r="N42" s="11" t="str">
        <f>"000160"</f>
        <v>000160</v>
      </c>
      <c r="O42" s="10">
        <v>43464</v>
      </c>
      <c r="P42" s="11" t="str">
        <f>"000293"</f>
        <v>000293</v>
      </c>
      <c r="Q42" s="10">
        <v>43464</v>
      </c>
      <c r="R42" s="11"/>
      <c r="S42" s="11" t="str">
        <f>"009214"</f>
        <v>009214</v>
      </c>
      <c r="T42" s="10">
        <v>43508</v>
      </c>
      <c r="U42" s="14">
        <v>24.80527</v>
      </c>
      <c r="V42" s="14">
        <v>2.7317800000000001</v>
      </c>
      <c r="W42" s="14">
        <v>22.07349</v>
      </c>
      <c r="X42" s="11">
        <v>364</v>
      </c>
      <c r="Y42" s="10">
        <v>43526</v>
      </c>
      <c r="Z42" s="11">
        <v>123456789</v>
      </c>
      <c r="AA42" s="12" t="s">
        <v>115</v>
      </c>
      <c r="AB42" s="11" t="s">
        <v>159</v>
      </c>
      <c r="AC42" s="12" t="s">
        <v>160</v>
      </c>
      <c r="AD42" s="11" t="s">
        <v>44</v>
      </c>
      <c r="AE42" s="12" t="s">
        <v>45</v>
      </c>
      <c r="AF42" s="14">
        <f t="shared" si="0"/>
        <v>0.24805270000000001</v>
      </c>
      <c r="AG42" s="11" t="s">
        <v>66</v>
      </c>
    </row>
    <row r="43" spans="1:33" x14ac:dyDescent="0.2">
      <c r="A43" s="8">
        <v>9489</v>
      </c>
      <c r="B43" s="9" t="s">
        <v>179</v>
      </c>
      <c r="C43" s="10">
        <v>43530</v>
      </c>
      <c r="D43" s="11">
        <v>28</v>
      </c>
      <c r="E43" s="12" t="s">
        <v>34</v>
      </c>
      <c r="F43" s="12" t="s">
        <v>35</v>
      </c>
      <c r="G43" s="12" t="s">
        <v>36</v>
      </c>
      <c r="H43" s="12" t="s">
        <v>37</v>
      </c>
      <c r="I43" s="11" t="s">
        <v>182</v>
      </c>
      <c r="J43" s="12" t="s">
        <v>183</v>
      </c>
      <c r="K43" s="13" t="s">
        <v>108</v>
      </c>
      <c r="L43" s="11" t="str">
        <f>"000252"</f>
        <v>000252</v>
      </c>
      <c r="M43" s="10">
        <v>43425</v>
      </c>
      <c r="N43" s="11" t="str">
        <f>"000158"</f>
        <v>000158</v>
      </c>
      <c r="O43" s="10">
        <v>43464</v>
      </c>
      <c r="P43" s="11" t="str">
        <f>"000291"</f>
        <v>000291</v>
      </c>
      <c r="Q43" s="10">
        <v>43464</v>
      </c>
      <c r="R43" s="11"/>
      <c r="S43" s="11" t="str">
        <f>"009523"</f>
        <v>009523</v>
      </c>
      <c r="T43" s="10">
        <v>43526</v>
      </c>
      <c r="U43" s="14">
        <v>1.47204</v>
      </c>
      <c r="V43" s="14">
        <v>0.16844999999999999</v>
      </c>
      <c r="W43" s="14">
        <v>1.30359</v>
      </c>
      <c r="X43" s="11">
        <v>368</v>
      </c>
      <c r="Y43" s="10">
        <v>43530</v>
      </c>
      <c r="Z43" s="11">
        <v>123456789</v>
      </c>
      <c r="AA43" s="12" t="s">
        <v>184</v>
      </c>
      <c r="AB43" s="11" t="s">
        <v>84</v>
      </c>
      <c r="AC43" s="12" t="s">
        <v>85</v>
      </c>
      <c r="AD43" s="11" t="s">
        <v>44</v>
      </c>
      <c r="AE43" s="12" t="s">
        <v>45</v>
      </c>
      <c r="AF43" s="14">
        <f t="shared" si="0"/>
        <v>1.47204E-2</v>
      </c>
      <c r="AG43" s="11" t="s">
        <v>66</v>
      </c>
    </row>
    <row r="44" spans="1:33" x14ac:dyDescent="0.2">
      <c r="A44" s="8">
        <v>9989</v>
      </c>
      <c r="B44" s="9" t="s">
        <v>179</v>
      </c>
      <c r="C44" s="10">
        <v>43552</v>
      </c>
      <c r="D44" s="11">
        <v>28</v>
      </c>
      <c r="E44" s="12" t="s">
        <v>34</v>
      </c>
      <c r="F44" s="12" t="s">
        <v>35</v>
      </c>
      <c r="G44" s="12" t="s">
        <v>36</v>
      </c>
      <c r="H44" s="12" t="s">
        <v>37</v>
      </c>
      <c r="I44" s="11" t="s">
        <v>185</v>
      </c>
      <c r="J44" s="12" t="s">
        <v>186</v>
      </c>
      <c r="K44" s="13" t="s">
        <v>40</v>
      </c>
      <c r="L44" s="11" t="str">
        <f>"000206"</f>
        <v>000206</v>
      </c>
      <c r="M44" s="10">
        <v>42800</v>
      </c>
      <c r="N44" s="11" t="str">
        <f>"000004"</f>
        <v>000004</v>
      </c>
      <c r="O44" s="10">
        <v>42836</v>
      </c>
      <c r="P44" s="11" t="str">
        <f>"000213"</f>
        <v>000213</v>
      </c>
      <c r="Q44" s="10">
        <v>42914</v>
      </c>
      <c r="R44" s="11"/>
      <c r="S44" s="11" t="str">
        <f>"010051"</f>
        <v>010051</v>
      </c>
      <c r="T44" s="10">
        <v>43552</v>
      </c>
      <c r="U44" s="14">
        <v>13.969580000000001</v>
      </c>
      <c r="V44" s="14">
        <v>1.0370699999999999</v>
      </c>
      <c r="W44" s="14">
        <v>12.932510000000001</v>
      </c>
      <c r="X44" s="11">
        <v>390</v>
      </c>
      <c r="Y44" s="10">
        <v>43552</v>
      </c>
      <c r="Z44" s="11">
        <v>9880969199</v>
      </c>
      <c r="AA44" s="12" t="s">
        <v>176</v>
      </c>
      <c r="AB44" s="11" t="s">
        <v>42</v>
      </c>
      <c r="AC44" s="12" t="s">
        <v>43</v>
      </c>
      <c r="AD44" s="11" t="s">
        <v>44</v>
      </c>
      <c r="AE44" s="12" t="s">
        <v>45</v>
      </c>
      <c r="AF44" s="14">
        <f t="shared" si="0"/>
        <v>0.13969580000000001</v>
      </c>
      <c r="AG44" s="11" t="s">
        <v>46</v>
      </c>
    </row>
    <row r="45" spans="1:33" x14ac:dyDescent="0.2">
      <c r="A45" s="8">
        <v>9990</v>
      </c>
      <c r="B45" s="9" t="s">
        <v>179</v>
      </c>
      <c r="C45" s="10">
        <v>43552</v>
      </c>
      <c r="D45" s="11">
        <v>28</v>
      </c>
      <c r="E45" s="12" t="s">
        <v>34</v>
      </c>
      <c r="F45" s="12" t="s">
        <v>35</v>
      </c>
      <c r="G45" s="12" t="s">
        <v>36</v>
      </c>
      <c r="H45" s="12" t="s">
        <v>37</v>
      </c>
      <c r="I45" s="11" t="s">
        <v>187</v>
      </c>
      <c r="J45" s="12" t="s">
        <v>188</v>
      </c>
      <c r="K45" s="13" t="s">
        <v>40</v>
      </c>
      <c r="L45" s="11" t="str">
        <f>"000205"</f>
        <v>000205</v>
      </c>
      <c r="M45" s="10">
        <v>42800</v>
      </c>
      <c r="N45" s="11" t="str">
        <f>"000003"</f>
        <v>000003</v>
      </c>
      <c r="O45" s="10">
        <v>42836</v>
      </c>
      <c r="P45" s="11" t="str">
        <f>"000214"</f>
        <v>000214</v>
      </c>
      <c r="Q45" s="10">
        <v>42914</v>
      </c>
      <c r="R45" s="11"/>
      <c r="S45" s="11" t="str">
        <f>"010052"</f>
        <v>010052</v>
      </c>
      <c r="T45" s="10">
        <v>43552</v>
      </c>
      <c r="U45" s="14">
        <v>13.9907</v>
      </c>
      <c r="V45" s="14">
        <v>1.0384199999999999</v>
      </c>
      <c r="W45" s="14">
        <v>12.95228</v>
      </c>
      <c r="X45" s="11">
        <v>390</v>
      </c>
      <c r="Y45" s="10">
        <v>43552</v>
      </c>
      <c r="Z45" s="11">
        <v>9880969199</v>
      </c>
      <c r="AA45" s="12" t="s">
        <v>176</v>
      </c>
      <c r="AB45" s="11" t="s">
        <v>42</v>
      </c>
      <c r="AC45" s="12" t="s">
        <v>43</v>
      </c>
      <c r="AD45" s="11" t="s">
        <v>44</v>
      </c>
      <c r="AE45" s="12" t="s">
        <v>45</v>
      </c>
      <c r="AF45" s="14">
        <f t="shared" si="0"/>
        <v>0.139907</v>
      </c>
      <c r="AG45" s="11" t="s">
        <v>46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2019-06-12T11:03:17Z</dcterms:modified>
</cp:coreProperties>
</file>