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7" i="1" l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<sst xmlns="http://schemas.openxmlformats.org/spreadsheetml/2006/main" count="817" uniqueCount="215">
  <si>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</si>
  <si>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</si>
  <si>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</si>
  <si>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</si>
  <si>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</si>
  <si>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</si>
  <si>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</si>
  <si>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</si>
  <si>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</si>
  <si>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</si>
  <si>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</si>
  <si>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</si>
  <si>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</si>
  <si>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</si>
  <si>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</si>
  <si>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</si>
  <si>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</si>
  <si>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</si>
  <si>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</si>
  <si>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</si>
  <si>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</si>
  <si>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</si>
  <si>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</si>
  <si>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</si>
  <si>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</si>
  <si>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</si>
  <si>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</si>
  <si>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</si>
  <si>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</si>
  <si>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</si>
  <si>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</si>
  <si>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</si>
  <si>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</si>
  <si>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</si>
  <si>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Kushal Nagara</t>
  </si>
  <si>
    <t>K G Halli</t>
  </si>
  <si>
    <t>Pulikeshi Nagara</t>
  </si>
  <si>
    <t>East</t>
  </si>
  <si>
    <t>031-17-000054</t>
  </si>
  <si>
    <t>Development of Roads and Drains in Ward No 31 Kushalnagar</t>
  </si>
  <si>
    <t>Roads &amp; Drivablility</t>
  </si>
  <si>
    <t>KRIDL</t>
  </si>
  <si>
    <t>P3110</t>
  </si>
  <si>
    <t>14th Finance Commission Grant Works</t>
  </si>
  <si>
    <t>ddo079</t>
  </si>
  <si>
    <t xml:space="preserve"> Assistant Executive Engineer K G Halli East Zone</t>
  </si>
  <si>
    <t>Pending</t>
  </si>
  <si>
    <t>May</t>
  </si>
  <si>
    <t>031-16-000009</t>
  </si>
  <si>
    <t>CONSTRUCTION OF CULVERTS IN WARD NO 31</t>
  </si>
  <si>
    <t>S.K. Haroon</t>
  </si>
  <si>
    <t>P1771</t>
  </si>
  <si>
    <t>Zone Works - POW Works</t>
  </si>
  <si>
    <t>June</t>
  </si>
  <si>
    <t>031-14-000021</t>
  </si>
  <si>
    <t>PROVIDING CHAIN LINK FENCING AT HANIFIYA MAIN ROAD AND SURROUNDINGS IN WARD NO 31</t>
  </si>
  <si>
    <t>Other Ward Works</t>
  </si>
  <si>
    <t>A V PrasannaKumar</t>
  </si>
  <si>
    <t>031-18-000061</t>
  </si>
  <si>
    <t>Improvement and Asphalting to roads in Ashokanagara 1st main 5th cross and surrounding roads in ward no 31 Pulikeshinagara Constituency</t>
  </si>
  <si>
    <t>M/s KRIDL</t>
  </si>
  <si>
    <t>P3158</t>
  </si>
  <si>
    <t>SIP Infrastructure Project works</t>
  </si>
  <si>
    <t>Spill Over</t>
  </si>
  <si>
    <t>031-17-000053</t>
  </si>
  <si>
    <t>Development of Secondary drains Territary drains at Ward No 31 Kushalnagar</t>
  </si>
  <si>
    <t>Footpaths &amp; Walkability</t>
  </si>
  <si>
    <t>031-18-000026</t>
  </si>
  <si>
    <t>COMPREHENSIVE DEVELOPMENT OF ROADS AND DRAINS IN ASHOKA NAGAR 2ND MAIN IN WARD NO 31 KUSHAL NAGAR</t>
  </si>
  <si>
    <t>P1878</t>
  </si>
  <si>
    <t>18per - Works (Bhagyajyothi, Sooru / Neeru Yojane and General) (54 Lakhs / New Wards)</t>
  </si>
  <si>
    <t>031-18-000025</t>
  </si>
  <si>
    <t>COMPREHENSIVE DEVELOPMENT OF ROADS AND DRAINS IN ASHOKA NAGAR 1ST MAIN IN WARD NO 31 KUSHAL NAGAR</t>
  </si>
  <si>
    <t>July</t>
  </si>
  <si>
    <t>031-16-000044</t>
  </si>
  <si>
    <t>Providing LED lights to areas of Old Bagaluru layout, Anwer Layout, Pillanna Garden, Chikkanna Layout, Karumariyamma nagar, Muslim Colony in Ward No.31 Kushalnagar</t>
  </si>
  <si>
    <t>P0190</t>
  </si>
  <si>
    <t>Works sanctioned by Hon Mayor</t>
  </si>
  <si>
    <t>ddo089</t>
  </si>
  <si>
    <t xml:space="preserve"> Assistant Executive Engineer Electrical East Zone</t>
  </si>
  <si>
    <t>031-16-000004</t>
  </si>
  <si>
    <t>DESILTING OF DRAINS AT ANWER LAYOUT AND SURROUNDING AREA IN WARD NO 31.</t>
  </si>
  <si>
    <t>V. Lingaraju</t>
  </si>
  <si>
    <t>031-16-000008</t>
  </si>
  <si>
    <t>DESILTING OF DRAINS AT ASHOKANAGAR AND SURROUNDING AREA IN WARD NO 31.</t>
  </si>
  <si>
    <t>031-16-000006</t>
  </si>
  <si>
    <t>DESILTING OF DRAINS AT P AND T COLONY AND SURROUNDING AREA IN WARD NO 31.</t>
  </si>
  <si>
    <t>031-16-000007</t>
  </si>
  <si>
    <t>DESILTING OF DRAINS AT BASAVANAGAR AND SURROUNDING AREA IN WARD NO 31.</t>
  </si>
  <si>
    <t>031-16-000005</t>
  </si>
  <si>
    <t>DESILTING OF DRAINS AT KUSHALNAGAR AND SURROUNDING AREA IN WARD NO 31.</t>
  </si>
  <si>
    <t>031-16-000011</t>
  </si>
  <si>
    <t>ENGAGING TRACTOR AND LABOUR FOR MAINTENANCE IN WRD NO 31</t>
  </si>
  <si>
    <t>Health &amp; Sanitation</t>
  </si>
  <si>
    <t>031-18-000063</t>
  </si>
  <si>
    <t>IMPROVEMENTS TO ROADS IN SAUKAR LANE AND SURROUNDING AREA IN WARD NO 31 KUSHAL NAGAR</t>
  </si>
  <si>
    <t>031-18-000064</t>
  </si>
  <si>
    <t>IMPROVEMENTS TO ROADS IN ASHOK NAGAR AND SURROUNDING AREA IN WARD NO 31 KUSHAL NAGAR</t>
  </si>
  <si>
    <t>314-12-000005</t>
  </si>
  <si>
    <t>Annual Street light maintenance at ward no 31 and 32 Package-E5</t>
  </si>
  <si>
    <t>M/s SMS Electricals</t>
  </si>
  <si>
    <t>P0300</t>
  </si>
  <si>
    <t>M and R to Street Lights - Replacement of Burnt Bulbs etc. (Package)</t>
  </si>
  <si>
    <t>031-16-000028</t>
  </si>
  <si>
    <t>Improvements to drains at Narashimaiah block road in ward No 31 Kushal Nagara</t>
  </si>
  <si>
    <t>P2415</t>
  </si>
  <si>
    <t>Reserve fund for TandF Committee</t>
  </si>
  <si>
    <t>031-16-000035</t>
  </si>
  <si>
    <t>Improvements to roads and drains of Basavanagara cross roads and surrounding ward no 31</t>
  </si>
  <si>
    <t>031-16-000001</t>
  </si>
  <si>
    <t>Operation and Maintenance of street lights at Kushala nagara and Kavalbyrasandra area ward no,s 31 and 32 Package E 4 for one year.</t>
  </si>
  <si>
    <t>M/s.S.M.S.Electricals</t>
  </si>
  <si>
    <t>031-14-000026</t>
  </si>
  <si>
    <t>PROVIDING POT HOLES FILLING AT KUSHAL NAGAR MUSLIM COLONY AND SURROUNDINGS IN WARD NO 31</t>
  </si>
  <si>
    <t>Venkatesh</t>
  </si>
  <si>
    <t>031-16-000027</t>
  </si>
  <si>
    <t>Construction of C C road at Karumariyamma Nagar surroundings in ward no 31</t>
  </si>
  <si>
    <t>August</t>
  </si>
  <si>
    <t>031-18-000065</t>
  </si>
  <si>
    <t>IMPROVEMENTS TO ROADS IN BASAVANAGAR AND SURROUNDING AREA IN WARD NO 31 KUSHAL NAGAR</t>
  </si>
  <si>
    <t>031-14-000051</t>
  </si>
  <si>
    <t>FILLING OF POT HOLES TO BWSSB ROAD CUT PORTION AT RAMA TENT AREA AND SURROUNDINGS IN WARD NO 31</t>
  </si>
  <si>
    <t>Babu Baig</t>
  </si>
  <si>
    <t>031-16-000036</t>
  </si>
  <si>
    <t>Providing LED lights with connected accessories in Shampura main road and AMC road surrounding area in ward no 31</t>
  </si>
  <si>
    <t>M/s.KRIDL</t>
  </si>
  <si>
    <t>P2178</t>
  </si>
  <si>
    <t>Works sanctioned by Dy. Mayor</t>
  </si>
  <si>
    <t>031-17-000027</t>
  </si>
  <si>
    <t>Providing LED lights at ward jurisidictions in ward no 31</t>
  </si>
  <si>
    <t>031-17-000067</t>
  </si>
  <si>
    <t>Providing LED street lights, Park lights, Cable, AB Cable, ACSR wire, Poles, Timer Switches, Boxes etc., to Kushala nagara ward no 31</t>
  </si>
  <si>
    <t>M/s.S.M.S Electricals</t>
  </si>
  <si>
    <t>Current</t>
  </si>
  <si>
    <t>September</t>
  </si>
  <si>
    <t>031-18-000062</t>
  </si>
  <si>
    <t>IMPROVEMENTS TO ROADS IN KARUMARIYAMMANAGAR AND SURROUNDING AREA IN WARD NO 31 KUSH AL NAGAR</t>
  </si>
  <si>
    <t>031-14-000053</t>
  </si>
  <si>
    <t>DESILTING OF STORM WATER DRAIN AT ASHOK NAGAR BASAVNAGAR AND SURROUNDINGS IN WARD NO 31</t>
  </si>
  <si>
    <t>Storm Water Drains</t>
  </si>
  <si>
    <t>031-16-000030</t>
  </si>
  <si>
    <t>Improvements to roads and drains at Anwar layout 2nd main road and 13th cross road in ward no 31</t>
  </si>
  <si>
    <t>031-16-000018</t>
  </si>
  <si>
    <t>Construction of Cement Concrete road at Salt and skin mandi road in ward No 31 Kushal Nagara</t>
  </si>
  <si>
    <t>031-17-000063</t>
  </si>
  <si>
    <t>Providing New Borewells and Mini water supply line in Kushalanagar Ward Jurisdiction at Ward no 31</t>
  </si>
  <si>
    <t>Water &amp; Sanitary</t>
  </si>
  <si>
    <t>P3075</t>
  </si>
  <si>
    <t>Special comprehensive development works in Bangalore city (Bangalore city in charge Minister Discretionary Grants)</t>
  </si>
  <si>
    <t>031-17-000059</t>
  </si>
  <si>
    <t>Drilling of Borewells and Providing Water supply pipeline at Muneshwaranagar in ward no 31</t>
  </si>
  <si>
    <t>P3119</t>
  </si>
  <si>
    <t>Developmental works at Byatarayanapura and Pulakeshinagar assembly  constituency(Rs.5.cr each)</t>
  </si>
  <si>
    <t>October</t>
  </si>
  <si>
    <t>031-17-000037</t>
  </si>
  <si>
    <t>Desilting of drains at Muneshwara Nagara cross roads in Ward.31</t>
  </si>
  <si>
    <t>Sridhar Ramaiah</t>
  </si>
  <si>
    <t>031-14-000054</t>
  </si>
  <si>
    <t>Providing mini Water supply SCheme by Drilling Borewell in ward no 31</t>
  </si>
  <si>
    <t>M/s Virupaksha Constructions</t>
  </si>
  <si>
    <t>P1802</t>
  </si>
  <si>
    <t>Water Supply New Areas</t>
  </si>
  <si>
    <t>031-17-000060</t>
  </si>
  <si>
    <t>Drilling of Borewells and Providing water supply pipeline at Karumariyamma Nagar in ward no 31</t>
  </si>
  <si>
    <t>031-18-000041</t>
  </si>
  <si>
    <t>Providing Street lights and maintenance in ward No 31 Kushal nagara</t>
  </si>
  <si>
    <t>P3290</t>
  </si>
  <si>
    <t>14th Finance Commission Works - Providing Street Lights and Maintenance</t>
  </si>
  <si>
    <t>304-18-000079</t>
  </si>
  <si>
    <t>Comprehensive development works in Muslim colony and Bilal Nagar surrounding area in ward no 31 Kushalnagar</t>
  </si>
  <si>
    <t>The Technical Manager -1/2/3/4</t>
  </si>
  <si>
    <t>ddo315</t>
  </si>
  <si>
    <t xml:space="preserve"> Executive Engineer Major Road East Central Zone</t>
  </si>
  <si>
    <t>304-18-000080</t>
  </si>
  <si>
    <t>Comprehensive development works in Kasturinagar and Anwar layout surrounding area in ward no 31 Kushalnagar..</t>
  </si>
  <si>
    <t>031-18-000066</t>
  </si>
  <si>
    <t xml:space="preserve">Providing Chain link fencing and other Civil Work around Indira Canteen in Ward No. 31Kushal Nagar </t>
  </si>
  <si>
    <t>Indira Canteen</t>
  </si>
  <si>
    <t>P3106</t>
  </si>
  <si>
    <t>Nagarothana Works</t>
  </si>
  <si>
    <t>November</t>
  </si>
  <si>
    <t>031-17-000061</t>
  </si>
  <si>
    <t>WATER SUPPLY WORKS IN WARD NO 31 KUSHAL NAGAR</t>
  </si>
  <si>
    <t>December</t>
  </si>
  <si>
    <t>031-17-000043</t>
  </si>
  <si>
    <t>Improvements to drains and culverts of Chikkanna layout main road in ward 31</t>
  </si>
  <si>
    <t>Hombegowda</t>
  </si>
  <si>
    <t>031-16-000031</t>
  </si>
  <si>
    <t>Construction of Cement Concrete road at Ibrahim Khaleelulla Masjid area cross roads in ward no 31</t>
  </si>
  <si>
    <t>031-16-000033</t>
  </si>
  <si>
    <t>Improvements to roads at Ameen Majid area in ward no 31</t>
  </si>
  <si>
    <t>031-17-000045</t>
  </si>
  <si>
    <t>Improvements to roads and drains at Muneshwara Nagar 4th cross in ward 31</t>
  </si>
  <si>
    <t>031-17-000032</t>
  </si>
  <si>
    <t>Construction of RCC drain at Kushal Nagara 3rd main in Ward No.31</t>
  </si>
  <si>
    <t>January</t>
  </si>
  <si>
    <t>031-16-000020</t>
  </si>
  <si>
    <t>Chain Link Fencing to open vacant land at Nagawara Main road in ward No 31</t>
  </si>
  <si>
    <t>031-16-000026</t>
  </si>
  <si>
    <t>Improvements to drains at Muslim Colony, Karumariyamma nagar and surrounding in ward no 31 Kushal Nagara</t>
  </si>
  <si>
    <t>March</t>
  </si>
  <si>
    <t>031-17-000033</t>
  </si>
  <si>
    <t>Desilting of drains at Kushal nagara 1st, 2nd and 3rd main in Ward No.31</t>
  </si>
  <si>
    <t>S.K Haroon</t>
  </si>
  <si>
    <t>031-17-000035</t>
  </si>
  <si>
    <t>Desilting of drains at HBR layout area in Ward.31 Kushal nagara</t>
  </si>
  <si>
    <t>031-17-000034</t>
  </si>
  <si>
    <t>Desilting of drains at hanifia Mosque cross roads in Ward No.31 Kushal Nagara</t>
  </si>
  <si>
    <t>031-17-000038</t>
  </si>
  <si>
    <t>Improvements to roads at 3rd A cross 2nd main, anwar layout in Ward.31</t>
  </si>
  <si>
    <t>G.C. Kiran Kumar</t>
  </si>
  <si>
    <t>031-17-000039</t>
  </si>
  <si>
    <t>Construction of culverts in ward 31 Kushal Nagara</t>
  </si>
  <si>
    <t>031-16-000025</t>
  </si>
  <si>
    <t>Improvements to roads at Kushal Nagara 1st main, 2nd main and 3rd main cross roads in ward No 31 Kushal Nagara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</si>
</sst>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"/>
  <sheetViews>
    <sheetView tabSelected="1" workbookViewId="0">
      <pane ySplit="1" topLeftCell="A2" activePane="bottomLeft" state="frozen"/>
      <selection activeCell="H1" sqref="H1"/>
      <selection pane="bottomLeft" activeCell="D10" sqref="D10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180</v>
      </c>
      <c r="B2" s="9" t="s">
        <v>33</v>
      </c>
      <c r="C2" s="10">
        <v>43195</v>
      </c>
      <c r="D2" s="11">
        <v>31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"000182"</f>
        <v>000182</v>
      </c>
      <c r="M2" s="10">
        <v>43108</v>
      </c>
      <c r="N2" s="11" t="str">
        <f>"000110"</f>
        <v>000110</v>
      </c>
      <c r="O2" s="10">
        <v>43168</v>
      </c>
      <c r="P2" s="11" t="str">
        <f>"000198"</f>
        <v>000198</v>
      </c>
      <c r="Q2" s="10">
        <v>43172</v>
      </c>
      <c r="R2" s="11">
        <v>17</v>
      </c>
      <c r="S2" s="11" t="str">
        <f>"000274"</f>
        <v>000274</v>
      </c>
      <c r="T2" s="10">
        <v>43195</v>
      </c>
      <c r="U2" s="14">
        <v>99.622150000000005</v>
      </c>
      <c r="V2" s="14">
        <v>9.5452999999999992</v>
      </c>
      <c r="W2" s="14">
        <v>90.076849999999993</v>
      </c>
      <c r="X2" s="11">
        <v>5</v>
      </c>
      <c r="Y2" s="10">
        <v>43195</v>
      </c>
      <c r="Z2" s="11">
        <v>9901855542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0.99622150000000009</v>
      </c>
      <c r="AG2" s="11" t="s">
        <v>46</v>
      </c>
    </row>
    <row r="3" spans="1:33" x14ac:dyDescent="0.2">
      <c r="A3" s="8">
        <v>1497</v>
      </c>
      <c r="B3" s="9" t="s">
        <v>47</v>
      </c>
      <c r="C3" s="10">
        <v>43251</v>
      </c>
      <c r="D3" s="11">
        <v>31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48</v>
      </c>
      <c r="J3" s="12" t="s">
        <v>49</v>
      </c>
      <c r="K3" s="13" t="s">
        <v>40</v>
      </c>
      <c r="L3" s="11" t="str">
        <f>"000126"</f>
        <v>000126</v>
      </c>
      <c r="M3" s="10">
        <v>42585</v>
      </c>
      <c r="N3" s="11" t="str">
        <f>"000117"</f>
        <v>000117</v>
      </c>
      <c r="O3" s="10">
        <v>42613</v>
      </c>
      <c r="P3" s="11" t="str">
        <f>"000285"</f>
        <v>000285</v>
      </c>
      <c r="Q3" s="10">
        <v>42614</v>
      </c>
      <c r="R3" s="11">
        <v>16</v>
      </c>
      <c r="S3" s="11" t="str">
        <f>"002071"</f>
        <v>002071</v>
      </c>
      <c r="T3" s="10">
        <v>43250</v>
      </c>
      <c r="U3" s="14">
        <v>7.4584700000000002</v>
      </c>
      <c r="V3" s="14">
        <v>0.50622</v>
      </c>
      <c r="W3" s="14">
        <v>6.9522500000000003</v>
      </c>
      <c r="X3" s="11">
        <v>67</v>
      </c>
      <c r="Y3" s="10">
        <v>43251</v>
      </c>
      <c r="Z3" s="11">
        <v>9341246488</v>
      </c>
      <c r="AA3" s="12" t="s">
        <v>50</v>
      </c>
      <c r="AB3" s="11" t="s">
        <v>51</v>
      </c>
      <c r="AC3" s="12" t="s">
        <v>52</v>
      </c>
      <c r="AD3" s="11" t="s">
        <v>44</v>
      </c>
      <c r="AE3" s="12" t="s">
        <v>45</v>
      </c>
      <c r="AF3" s="14">
        <v>7.4584700000000004E-2</v>
      </c>
      <c r="AG3" s="11" t="s">
        <v>46</v>
      </c>
    </row>
    <row r="4" spans="1:33" x14ac:dyDescent="0.2">
      <c r="A4" s="8">
        <v>1613</v>
      </c>
      <c r="B4" s="9" t="s">
        <v>53</v>
      </c>
      <c r="C4" s="10">
        <v>43252</v>
      </c>
      <c r="D4" s="11">
        <v>31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54</v>
      </c>
      <c r="J4" s="12" t="s">
        <v>55</v>
      </c>
      <c r="K4" s="13" t="s">
        <v>56</v>
      </c>
      <c r="L4" s="11" t="str">
        <f>"000258"</f>
        <v>000258</v>
      </c>
      <c r="M4" s="10">
        <v>41671</v>
      </c>
      <c r="N4" s="11" t="str">
        <f>"000242"</f>
        <v>000242</v>
      </c>
      <c r="O4" s="10">
        <v>42033</v>
      </c>
      <c r="P4" s="11" t="str">
        <f>"000689"</f>
        <v>000689</v>
      </c>
      <c r="Q4" s="10">
        <v>42035</v>
      </c>
      <c r="R4" s="11">
        <v>14</v>
      </c>
      <c r="S4" s="11" t="str">
        <f>"001361"</f>
        <v>001361</v>
      </c>
      <c r="T4" s="10">
        <v>43230</v>
      </c>
      <c r="U4" s="14">
        <v>5.0213299999999998</v>
      </c>
      <c r="V4" s="14">
        <v>0.51132999999999995</v>
      </c>
      <c r="W4" s="14">
        <v>4.51</v>
      </c>
      <c r="X4" s="11">
        <v>62</v>
      </c>
      <c r="Y4" s="10">
        <v>43252</v>
      </c>
      <c r="Z4" s="11">
        <v>9342842935</v>
      </c>
      <c r="AA4" s="12" t="s">
        <v>57</v>
      </c>
      <c r="AB4" s="11" t="s">
        <v>51</v>
      </c>
      <c r="AC4" s="12" t="s">
        <v>52</v>
      </c>
      <c r="AD4" s="11" t="s">
        <v>44</v>
      </c>
      <c r="AE4" s="12" t="s">
        <v>45</v>
      </c>
      <c r="AF4" s="14">
        <v>5.0213299999999995E-2</v>
      </c>
      <c r="AG4" s="11" t="s">
        <v>46</v>
      </c>
    </row>
    <row r="5" spans="1:33" x14ac:dyDescent="0.2">
      <c r="A5" s="8">
        <v>1768</v>
      </c>
      <c r="B5" s="9" t="s">
        <v>53</v>
      </c>
      <c r="C5" s="10">
        <v>43257</v>
      </c>
      <c r="D5" s="11">
        <v>31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58</v>
      </c>
      <c r="J5" s="12" t="s">
        <v>59</v>
      </c>
      <c r="K5" s="13" t="s">
        <v>40</v>
      </c>
      <c r="L5" s="11" t="str">
        <f>"000248"</f>
        <v>000248</v>
      </c>
      <c r="M5" s="10">
        <v>43185</v>
      </c>
      <c r="N5" s="11" t="str">
        <f>"000008"</f>
        <v>000008</v>
      </c>
      <c r="O5" s="10">
        <v>43225</v>
      </c>
      <c r="P5" s="11" t="str">
        <f>"000016"</f>
        <v>000016</v>
      </c>
      <c r="Q5" s="10">
        <v>43225</v>
      </c>
      <c r="R5" s="11">
        <v>18</v>
      </c>
      <c r="S5" s="11" t="str">
        <f>"001850"</f>
        <v>001850</v>
      </c>
      <c r="T5" s="10">
        <v>43244</v>
      </c>
      <c r="U5" s="14">
        <v>80.095479999999995</v>
      </c>
      <c r="V5" s="14">
        <v>9.3186599999999995</v>
      </c>
      <c r="W5" s="14">
        <v>70.776820000000001</v>
      </c>
      <c r="X5" s="11">
        <v>70</v>
      </c>
      <c r="Y5" s="10">
        <v>43257</v>
      </c>
      <c r="Z5" s="11">
        <v>9900980808</v>
      </c>
      <c r="AA5" s="12" t="s">
        <v>60</v>
      </c>
      <c r="AB5" s="11" t="s">
        <v>61</v>
      </c>
      <c r="AC5" s="12" t="s">
        <v>62</v>
      </c>
      <c r="AD5" s="11" t="s">
        <v>44</v>
      </c>
      <c r="AE5" s="12" t="s">
        <v>45</v>
      </c>
      <c r="AF5" s="14">
        <v>0.80095479999999997</v>
      </c>
      <c r="AG5" s="11" t="s">
        <v>63</v>
      </c>
    </row>
    <row r="6" spans="1:33" x14ac:dyDescent="0.2">
      <c r="A6" s="8">
        <v>1980</v>
      </c>
      <c r="B6" s="9" t="s">
        <v>53</v>
      </c>
      <c r="C6" s="10">
        <v>43258</v>
      </c>
      <c r="D6" s="11">
        <v>31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64</v>
      </c>
      <c r="J6" s="12" t="s">
        <v>65</v>
      </c>
      <c r="K6" s="13" t="s">
        <v>66</v>
      </c>
      <c r="L6" s="11" t="str">
        <f>"000175"</f>
        <v>000175</v>
      </c>
      <c r="M6" s="10">
        <v>43105</v>
      </c>
      <c r="N6" s="11" t="str">
        <f>"000017"</f>
        <v>000017</v>
      </c>
      <c r="O6" s="10">
        <v>43239</v>
      </c>
      <c r="P6" s="11" t="str">
        <f>"000026"</f>
        <v>000026</v>
      </c>
      <c r="Q6" s="10">
        <v>43239</v>
      </c>
      <c r="R6" s="11">
        <v>17</v>
      </c>
      <c r="S6" s="11" t="str">
        <f>"002282"</f>
        <v>002282</v>
      </c>
      <c r="T6" s="10">
        <v>43258</v>
      </c>
      <c r="U6" s="14">
        <v>99.447130000000001</v>
      </c>
      <c r="V6" s="14">
        <v>8.9650700000000008</v>
      </c>
      <c r="W6" s="14">
        <v>90.482060000000004</v>
      </c>
      <c r="X6" s="11">
        <v>77</v>
      </c>
      <c r="Y6" s="10">
        <v>43258</v>
      </c>
      <c r="Z6" s="11">
        <v>9845028772</v>
      </c>
      <c r="AA6" s="12" t="s">
        <v>60</v>
      </c>
      <c r="AB6" s="11" t="s">
        <v>42</v>
      </c>
      <c r="AC6" s="12" t="s">
        <v>43</v>
      </c>
      <c r="AD6" s="11" t="s">
        <v>44</v>
      </c>
      <c r="AE6" s="12" t="s">
        <v>45</v>
      </c>
      <c r="AF6" s="14">
        <v>0.99447130000000006</v>
      </c>
      <c r="AG6" s="11" t="s">
        <v>63</v>
      </c>
    </row>
    <row r="7" spans="1:33" x14ac:dyDescent="0.2">
      <c r="A7" s="8">
        <v>2233</v>
      </c>
      <c r="B7" s="9" t="s">
        <v>53</v>
      </c>
      <c r="C7" s="10">
        <v>43269</v>
      </c>
      <c r="D7" s="11">
        <v>31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67</v>
      </c>
      <c r="J7" s="12" t="s">
        <v>68</v>
      </c>
      <c r="K7" s="13" t="s">
        <v>40</v>
      </c>
      <c r="L7" s="11" t="str">
        <f>"000210"</f>
        <v>000210</v>
      </c>
      <c r="M7" s="10">
        <v>43131</v>
      </c>
      <c r="N7" s="11" t="str">
        <f>"000020"</f>
        <v>000020</v>
      </c>
      <c r="O7" s="10">
        <v>43242</v>
      </c>
      <c r="P7" s="11" t="str">
        <f>"000031"</f>
        <v>000031</v>
      </c>
      <c r="Q7" s="10">
        <v>43242</v>
      </c>
      <c r="R7" s="11">
        <v>18</v>
      </c>
      <c r="S7" s="11" t="str">
        <f>"002216"</f>
        <v>002216</v>
      </c>
      <c r="T7" s="10">
        <v>43257</v>
      </c>
      <c r="U7" s="14">
        <v>24.89358</v>
      </c>
      <c r="V7" s="14">
        <v>2.05233</v>
      </c>
      <c r="W7" s="14">
        <v>22.841249999999999</v>
      </c>
      <c r="X7" s="11">
        <v>93</v>
      </c>
      <c r="Y7" s="10">
        <v>43269</v>
      </c>
      <c r="Z7" s="11">
        <v>9448486991</v>
      </c>
      <c r="AA7" s="12" t="s">
        <v>60</v>
      </c>
      <c r="AB7" s="11" t="s">
        <v>69</v>
      </c>
      <c r="AC7" s="12" t="s">
        <v>70</v>
      </c>
      <c r="AD7" s="11" t="s">
        <v>44</v>
      </c>
      <c r="AE7" s="12" t="s">
        <v>45</v>
      </c>
      <c r="AF7" s="14">
        <v>0.24893580000000001</v>
      </c>
      <c r="AG7" s="11" t="s">
        <v>63</v>
      </c>
    </row>
    <row r="8" spans="1:33" x14ac:dyDescent="0.2">
      <c r="A8" s="8">
        <v>2234</v>
      </c>
      <c r="B8" s="9" t="s">
        <v>53</v>
      </c>
      <c r="C8" s="10">
        <v>43269</v>
      </c>
      <c r="D8" s="11">
        <v>31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71</v>
      </c>
      <c r="J8" s="12" t="s">
        <v>72</v>
      </c>
      <c r="K8" s="13" t="s">
        <v>40</v>
      </c>
      <c r="L8" s="11" t="str">
        <f>"000209"</f>
        <v>000209</v>
      </c>
      <c r="M8" s="10">
        <v>43131</v>
      </c>
      <c r="N8" s="11" t="str">
        <f>"000021"</f>
        <v>000021</v>
      </c>
      <c r="O8" s="10">
        <v>43242</v>
      </c>
      <c r="P8" s="11" t="str">
        <f>"000032"</f>
        <v>000032</v>
      </c>
      <c r="Q8" s="10">
        <v>43242</v>
      </c>
      <c r="R8" s="11">
        <v>18</v>
      </c>
      <c r="S8" s="11" t="str">
        <f>"002217"</f>
        <v>002217</v>
      </c>
      <c r="T8" s="10">
        <v>43257</v>
      </c>
      <c r="U8" s="14">
        <v>24.910419999999998</v>
      </c>
      <c r="V8" s="14">
        <v>2.0523500000000001</v>
      </c>
      <c r="W8" s="14">
        <v>22.858070000000001</v>
      </c>
      <c r="X8" s="11">
        <v>93</v>
      </c>
      <c r="Y8" s="10">
        <v>43269</v>
      </c>
      <c r="Z8" s="11">
        <v>9448486991</v>
      </c>
      <c r="AA8" s="12" t="s">
        <v>60</v>
      </c>
      <c r="AB8" s="11" t="s">
        <v>69</v>
      </c>
      <c r="AC8" s="12" t="s">
        <v>70</v>
      </c>
      <c r="AD8" s="11" t="s">
        <v>44</v>
      </c>
      <c r="AE8" s="12" t="s">
        <v>45</v>
      </c>
      <c r="AF8" s="14">
        <v>0.2491042</v>
      </c>
      <c r="AG8" s="11" t="s">
        <v>63</v>
      </c>
    </row>
    <row r="9" spans="1:33" x14ac:dyDescent="0.2">
      <c r="A9" s="8">
        <v>2791</v>
      </c>
      <c r="B9" s="9" t="s">
        <v>73</v>
      </c>
      <c r="C9" s="10">
        <v>43283</v>
      </c>
      <c r="D9" s="11">
        <v>31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74</v>
      </c>
      <c r="J9" s="12" t="s">
        <v>75</v>
      </c>
      <c r="K9" s="13" t="s">
        <v>66</v>
      </c>
      <c r="L9" s="11" t="str">
        <f>"000013"</f>
        <v>000013</v>
      </c>
      <c r="M9" s="10">
        <v>42500</v>
      </c>
      <c r="N9" s="11" t="str">
        <f>"084"</f>
        <v>084</v>
      </c>
      <c r="O9" s="10">
        <v>16</v>
      </c>
      <c r="P9" s="11" t="str">
        <f>"257"</f>
        <v>257</v>
      </c>
      <c r="Q9" s="10">
        <v>16</v>
      </c>
      <c r="R9" s="11">
        <v>16</v>
      </c>
      <c r="S9" s="11" t="str">
        <f>"002969"</f>
        <v>002969</v>
      </c>
      <c r="T9" s="10">
        <v>43276</v>
      </c>
      <c r="U9" s="14">
        <v>1.2827</v>
      </c>
      <c r="V9" s="14">
        <v>0.19782</v>
      </c>
      <c r="W9" s="14">
        <v>1.0848800000000001</v>
      </c>
      <c r="X9" s="11">
        <v>108</v>
      </c>
      <c r="Y9" s="10">
        <v>43283</v>
      </c>
      <c r="Z9" s="11">
        <v>9845058699</v>
      </c>
      <c r="AA9" s="12" t="s">
        <v>60</v>
      </c>
      <c r="AB9" s="11" t="s">
        <v>76</v>
      </c>
      <c r="AC9" s="12" t="s">
        <v>77</v>
      </c>
      <c r="AD9" s="11" t="s">
        <v>78</v>
      </c>
      <c r="AE9" s="12" t="s">
        <v>79</v>
      </c>
      <c r="AF9" s="14">
        <v>1.2827E-2</v>
      </c>
      <c r="AG9" s="11" t="s">
        <v>46</v>
      </c>
    </row>
    <row r="10" spans="1:33" x14ac:dyDescent="0.2">
      <c r="A10" s="8">
        <v>3040</v>
      </c>
      <c r="B10" s="9" t="s">
        <v>73</v>
      </c>
      <c r="C10" s="10">
        <v>43287</v>
      </c>
      <c r="D10" s="11">
        <v>31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80</v>
      </c>
      <c r="J10" s="12" t="s">
        <v>81</v>
      </c>
      <c r="K10" s="13" t="s">
        <v>66</v>
      </c>
      <c r="L10" s="11" t="str">
        <f>"000007"</f>
        <v>000007</v>
      </c>
      <c r="M10" s="10">
        <v>42489</v>
      </c>
      <c r="N10" s="11" t="str">
        <f>"000141"</f>
        <v>000141</v>
      </c>
      <c r="O10" s="10">
        <v>42671</v>
      </c>
      <c r="P10" s="11" t="str">
        <f>"000327"</f>
        <v>000327</v>
      </c>
      <c r="Q10" s="10">
        <v>42704</v>
      </c>
      <c r="R10" s="11">
        <v>16</v>
      </c>
      <c r="S10" s="11" t="str">
        <f>"003246"</f>
        <v>003246</v>
      </c>
      <c r="T10" s="10">
        <v>43283</v>
      </c>
      <c r="U10" s="14">
        <v>3.5135900000000002</v>
      </c>
      <c r="V10" s="14">
        <v>0.24715999999999999</v>
      </c>
      <c r="W10" s="14">
        <v>3.2664300000000002</v>
      </c>
      <c r="X10" s="11">
        <v>113</v>
      </c>
      <c r="Y10" s="10">
        <v>43287</v>
      </c>
      <c r="Z10" s="11">
        <v>9449656807</v>
      </c>
      <c r="AA10" s="12" t="s">
        <v>82</v>
      </c>
      <c r="AB10" s="11" t="s">
        <v>51</v>
      </c>
      <c r="AC10" s="12" t="s">
        <v>52</v>
      </c>
      <c r="AD10" s="11" t="s">
        <v>44</v>
      </c>
      <c r="AE10" s="12" t="s">
        <v>45</v>
      </c>
      <c r="AF10" s="14">
        <v>3.5135900000000005E-2</v>
      </c>
      <c r="AG10" s="11" t="s">
        <v>46</v>
      </c>
    </row>
    <row r="11" spans="1:33" x14ac:dyDescent="0.2">
      <c r="A11" s="8">
        <v>3041</v>
      </c>
      <c r="B11" s="9" t="s">
        <v>73</v>
      </c>
      <c r="C11" s="10">
        <v>43287</v>
      </c>
      <c r="D11" s="11">
        <v>31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83</v>
      </c>
      <c r="J11" s="12" t="s">
        <v>84</v>
      </c>
      <c r="K11" s="13" t="s">
        <v>66</v>
      </c>
      <c r="L11" s="11" t="str">
        <f>"000006"</f>
        <v>000006</v>
      </c>
      <c r="M11" s="10">
        <v>42489</v>
      </c>
      <c r="N11" s="11" t="str">
        <f>"000142"</f>
        <v>000142</v>
      </c>
      <c r="O11" s="10">
        <v>42671</v>
      </c>
      <c r="P11" s="11" t="str">
        <f>"000328"</f>
        <v>000328</v>
      </c>
      <c r="Q11" s="10">
        <v>42704</v>
      </c>
      <c r="R11" s="11">
        <v>16</v>
      </c>
      <c r="S11" s="11" t="str">
        <f>"003247"</f>
        <v>003247</v>
      </c>
      <c r="T11" s="10">
        <v>43283</v>
      </c>
      <c r="U11" s="14">
        <v>2.5707399999999998</v>
      </c>
      <c r="V11" s="14">
        <v>0.18392</v>
      </c>
      <c r="W11" s="14">
        <v>2.3868200000000002</v>
      </c>
      <c r="X11" s="11">
        <v>113</v>
      </c>
      <c r="Y11" s="10">
        <v>43287</v>
      </c>
      <c r="Z11" s="11">
        <v>9449656807</v>
      </c>
      <c r="AA11" s="12" t="s">
        <v>82</v>
      </c>
      <c r="AB11" s="11" t="s">
        <v>51</v>
      </c>
      <c r="AC11" s="12" t="s">
        <v>52</v>
      </c>
      <c r="AD11" s="11" t="s">
        <v>44</v>
      </c>
      <c r="AE11" s="12" t="s">
        <v>45</v>
      </c>
      <c r="AF11" s="14">
        <v>2.5707399999999998E-2</v>
      </c>
      <c r="AG11" s="11" t="s">
        <v>46</v>
      </c>
    </row>
    <row r="12" spans="1:33" x14ac:dyDescent="0.2">
      <c r="A12" s="8">
        <v>3042</v>
      </c>
      <c r="B12" s="9" t="s">
        <v>73</v>
      </c>
      <c r="C12" s="10">
        <v>43287</v>
      </c>
      <c r="D12" s="11">
        <v>31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85</v>
      </c>
      <c r="J12" s="12" t="s">
        <v>86</v>
      </c>
      <c r="K12" s="13" t="s">
        <v>66</v>
      </c>
      <c r="L12" s="11" t="str">
        <f>"000009"</f>
        <v>000009</v>
      </c>
      <c r="M12" s="10">
        <v>42489</v>
      </c>
      <c r="N12" s="11" t="str">
        <f>"000143"</f>
        <v>000143</v>
      </c>
      <c r="O12" s="10">
        <v>42671</v>
      </c>
      <c r="P12" s="11" t="str">
        <f>"000329"</f>
        <v>000329</v>
      </c>
      <c r="Q12" s="10">
        <v>42704</v>
      </c>
      <c r="R12" s="11">
        <v>16</v>
      </c>
      <c r="S12" s="11" t="str">
        <f>"003248"</f>
        <v>003248</v>
      </c>
      <c r="T12" s="10">
        <v>43283</v>
      </c>
      <c r="U12" s="14">
        <v>3.1213000000000002</v>
      </c>
      <c r="V12" s="14">
        <v>0.2175</v>
      </c>
      <c r="W12" s="14">
        <v>2.9037999999999999</v>
      </c>
      <c r="X12" s="11">
        <v>113</v>
      </c>
      <c r="Y12" s="10">
        <v>43287</v>
      </c>
      <c r="Z12" s="11">
        <v>9449656807</v>
      </c>
      <c r="AA12" s="12" t="s">
        <v>82</v>
      </c>
      <c r="AB12" s="11" t="s">
        <v>51</v>
      </c>
      <c r="AC12" s="12" t="s">
        <v>52</v>
      </c>
      <c r="AD12" s="11" t="s">
        <v>44</v>
      </c>
      <c r="AE12" s="12" t="s">
        <v>45</v>
      </c>
      <c r="AF12" s="14">
        <v>3.1213000000000001E-2</v>
      </c>
      <c r="AG12" s="11" t="s">
        <v>46</v>
      </c>
    </row>
    <row r="13" spans="1:33" x14ac:dyDescent="0.2">
      <c r="A13" s="8">
        <v>3043</v>
      </c>
      <c r="B13" s="9" t="s">
        <v>73</v>
      </c>
      <c r="C13" s="10">
        <v>43287</v>
      </c>
      <c r="D13" s="11">
        <v>31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87</v>
      </c>
      <c r="J13" s="12" t="s">
        <v>88</v>
      </c>
      <c r="K13" s="13" t="s">
        <v>66</v>
      </c>
      <c r="L13" s="11" t="str">
        <f>"000008"</f>
        <v>000008</v>
      </c>
      <c r="M13" s="10">
        <v>42489</v>
      </c>
      <c r="N13" s="11" t="str">
        <f>"000144"</f>
        <v>000144</v>
      </c>
      <c r="O13" s="10">
        <v>42671</v>
      </c>
      <c r="P13" s="11" t="str">
        <f>"000330"</f>
        <v>000330</v>
      </c>
      <c r="Q13" s="10">
        <v>42704</v>
      </c>
      <c r="R13" s="11">
        <v>16</v>
      </c>
      <c r="S13" s="11" t="str">
        <f>"003249"</f>
        <v>003249</v>
      </c>
      <c r="T13" s="10">
        <v>43283</v>
      </c>
      <c r="U13" s="14">
        <v>4.6690199999999997</v>
      </c>
      <c r="V13" s="14">
        <v>0.31769999999999998</v>
      </c>
      <c r="W13" s="14">
        <v>4.3513200000000003</v>
      </c>
      <c r="X13" s="11">
        <v>113</v>
      </c>
      <c r="Y13" s="10">
        <v>43287</v>
      </c>
      <c r="Z13" s="11">
        <v>9449656807</v>
      </c>
      <c r="AA13" s="12" t="s">
        <v>82</v>
      </c>
      <c r="AB13" s="11" t="s">
        <v>51</v>
      </c>
      <c r="AC13" s="12" t="s">
        <v>52</v>
      </c>
      <c r="AD13" s="11" t="s">
        <v>44</v>
      </c>
      <c r="AE13" s="12" t="s">
        <v>45</v>
      </c>
      <c r="AF13" s="14">
        <v>4.6690199999999994E-2</v>
      </c>
      <c r="AG13" s="11" t="s">
        <v>46</v>
      </c>
    </row>
    <row r="14" spans="1:33" x14ac:dyDescent="0.2">
      <c r="A14" s="8">
        <v>3044</v>
      </c>
      <c r="B14" s="9" t="s">
        <v>73</v>
      </c>
      <c r="C14" s="10">
        <v>43287</v>
      </c>
      <c r="D14" s="11">
        <v>31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89</v>
      </c>
      <c r="J14" s="12" t="s">
        <v>90</v>
      </c>
      <c r="K14" s="13" t="s">
        <v>66</v>
      </c>
      <c r="L14" s="11" t="str">
        <f>"000005"</f>
        <v>000005</v>
      </c>
      <c r="M14" s="10">
        <v>42489</v>
      </c>
      <c r="N14" s="11" t="str">
        <f>"000145"</f>
        <v>000145</v>
      </c>
      <c r="O14" s="10">
        <v>42671</v>
      </c>
      <c r="P14" s="11" t="str">
        <f>"000331"</f>
        <v>000331</v>
      </c>
      <c r="Q14" s="10">
        <v>42704</v>
      </c>
      <c r="R14" s="11">
        <v>16</v>
      </c>
      <c r="S14" s="11" t="str">
        <f>"003250"</f>
        <v>003250</v>
      </c>
      <c r="T14" s="10">
        <v>43283</v>
      </c>
      <c r="U14" s="14">
        <v>4.6966000000000001</v>
      </c>
      <c r="V14" s="14">
        <v>0.31940000000000002</v>
      </c>
      <c r="W14" s="14">
        <v>4.3772000000000002</v>
      </c>
      <c r="X14" s="11">
        <v>113</v>
      </c>
      <c r="Y14" s="10">
        <v>43287</v>
      </c>
      <c r="Z14" s="11">
        <v>9449656807</v>
      </c>
      <c r="AA14" s="12" t="s">
        <v>82</v>
      </c>
      <c r="AB14" s="11" t="s">
        <v>51</v>
      </c>
      <c r="AC14" s="12" t="s">
        <v>52</v>
      </c>
      <c r="AD14" s="11" t="s">
        <v>44</v>
      </c>
      <c r="AE14" s="12" t="s">
        <v>45</v>
      </c>
      <c r="AF14" s="14">
        <v>4.6966000000000001E-2</v>
      </c>
      <c r="AG14" s="11" t="s">
        <v>46</v>
      </c>
    </row>
    <row r="15" spans="1:33" x14ac:dyDescent="0.2">
      <c r="A15" s="8">
        <v>3045</v>
      </c>
      <c r="B15" s="9" t="s">
        <v>73</v>
      </c>
      <c r="C15" s="10">
        <v>43287</v>
      </c>
      <c r="D15" s="11">
        <v>31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91</v>
      </c>
      <c r="J15" s="12" t="s">
        <v>92</v>
      </c>
      <c r="K15" s="13" t="s">
        <v>93</v>
      </c>
      <c r="L15" s="11" t="str">
        <f>"000109"</f>
        <v>000109</v>
      </c>
      <c r="M15" s="10">
        <v>42537</v>
      </c>
      <c r="N15" s="11" t="str">
        <f>"000146"</f>
        <v>000146</v>
      </c>
      <c r="O15" s="10">
        <v>42671</v>
      </c>
      <c r="P15" s="11" t="str">
        <f>"000332"</f>
        <v>000332</v>
      </c>
      <c r="Q15" s="10">
        <v>42704</v>
      </c>
      <c r="R15" s="11">
        <v>16</v>
      </c>
      <c r="S15" s="11" t="str">
        <f>"003251"</f>
        <v>003251</v>
      </c>
      <c r="T15" s="10">
        <v>43283</v>
      </c>
      <c r="U15" s="14">
        <v>3.3331</v>
      </c>
      <c r="V15" s="14">
        <v>0.2034</v>
      </c>
      <c r="W15" s="14">
        <v>3.1297000000000001</v>
      </c>
      <c r="X15" s="11">
        <v>113</v>
      </c>
      <c r="Y15" s="10">
        <v>43287</v>
      </c>
      <c r="Z15" s="11">
        <v>9449656807</v>
      </c>
      <c r="AA15" s="12" t="s">
        <v>82</v>
      </c>
      <c r="AB15" s="11" t="s">
        <v>51</v>
      </c>
      <c r="AC15" s="12" t="s">
        <v>52</v>
      </c>
      <c r="AD15" s="11" t="s">
        <v>44</v>
      </c>
      <c r="AE15" s="12" t="s">
        <v>45</v>
      </c>
      <c r="AF15" s="14">
        <v>3.3331E-2</v>
      </c>
      <c r="AG15" s="11" t="s">
        <v>46</v>
      </c>
    </row>
    <row r="16" spans="1:33" x14ac:dyDescent="0.2">
      <c r="A16" s="8">
        <v>3370</v>
      </c>
      <c r="B16" s="9" t="s">
        <v>73</v>
      </c>
      <c r="C16" s="10">
        <v>43298</v>
      </c>
      <c r="D16" s="11">
        <v>31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94</v>
      </c>
      <c r="J16" s="12" t="s">
        <v>95</v>
      </c>
      <c r="K16" s="13" t="s">
        <v>40</v>
      </c>
      <c r="L16" s="11" t="str">
        <f>"000238"</f>
        <v>000238</v>
      </c>
      <c r="M16" s="10">
        <v>43185</v>
      </c>
      <c r="N16" s="11" t="str">
        <f>"000034"</f>
        <v>000034</v>
      </c>
      <c r="O16" s="10">
        <v>43269</v>
      </c>
      <c r="P16" s="11" t="str">
        <f>"000054"</f>
        <v>000054</v>
      </c>
      <c r="Q16" s="10">
        <v>43269</v>
      </c>
      <c r="R16" s="11">
        <v>18</v>
      </c>
      <c r="S16" s="11" t="str">
        <f>"003325"</f>
        <v>003325</v>
      </c>
      <c r="T16" s="10">
        <v>43286</v>
      </c>
      <c r="U16" s="14">
        <v>24.09796</v>
      </c>
      <c r="V16" s="14">
        <v>2.2932000000000001</v>
      </c>
      <c r="W16" s="14">
        <v>21.804760000000002</v>
      </c>
      <c r="X16" s="11">
        <v>126</v>
      </c>
      <c r="Y16" s="10">
        <v>43298</v>
      </c>
      <c r="Z16" s="11">
        <v>9945695989</v>
      </c>
      <c r="AA16" s="12" t="s">
        <v>60</v>
      </c>
      <c r="AB16" s="11" t="s">
        <v>69</v>
      </c>
      <c r="AC16" s="12" t="s">
        <v>70</v>
      </c>
      <c r="AD16" s="11" t="s">
        <v>44</v>
      </c>
      <c r="AE16" s="12" t="s">
        <v>45</v>
      </c>
      <c r="AF16" s="14">
        <v>0.24097960000000002</v>
      </c>
      <c r="AG16" s="11" t="s">
        <v>63</v>
      </c>
    </row>
    <row r="17" spans="1:33" x14ac:dyDescent="0.2">
      <c r="A17" s="8">
        <v>3371</v>
      </c>
      <c r="B17" s="9" t="s">
        <v>73</v>
      </c>
      <c r="C17" s="10">
        <v>43298</v>
      </c>
      <c r="D17" s="11">
        <v>31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96</v>
      </c>
      <c r="J17" s="12" t="s">
        <v>97</v>
      </c>
      <c r="K17" s="13" t="s">
        <v>40</v>
      </c>
      <c r="L17" s="11" t="str">
        <f>"000239"</f>
        <v>000239</v>
      </c>
      <c r="M17" s="10">
        <v>43185</v>
      </c>
      <c r="N17" s="11" t="str">
        <f>"000035"</f>
        <v>000035</v>
      </c>
      <c r="O17" s="10">
        <v>43269</v>
      </c>
      <c r="P17" s="11" t="str">
        <f>"000053"</f>
        <v>000053</v>
      </c>
      <c r="Q17" s="10">
        <v>43269</v>
      </c>
      <c r="R17" s="11">
        <v>18</v>
      </c>
      <c r="S17" s="11" t="str">
        <f>"003339"</f>
        <v>003339</v>
      </c>
      <c r="T17" s="10">
        <v>43286</v>
      </c>
      <c r="U17" s="14">
        <v>24.170660000000002</v>
      </c>
      <c r="V17" s="14">
        <v>2.2835000000000001</v>
      </c>
      <c r="W17" s="14">
        <v>21.887160000000002</v>
      </c>
      <c r="X17" s="11">
        <v>126</v>
      </c>
      <c r="Y17" s="10">
        <v>43298</v>
      </c>
      <c r="Z17" s="11">
        <v>9945695989</v>
      </c>
      <c r="AA17" s="12" t="s">
        <v>60</v>
      </c>
      <c r="AB17" s="11" t="s">
        <v>69</v>
      </c>
      <c r="AC17" s="12" t="s">
        <v>70</v>
      </c>
      <c r="AD17" s="11" t="s">
        <v>44</v>
      </c>
      <c r="AE17" s="12" t="s">
        <v>45</v>
      </c>
      <c r="AF17" s="14">
        <v>0.24170660000000002</v>
      </c>
      <c r="AG17" s="11" t="s">
        <v>63</v>
      </c>
    </row>
    <row r="18" spans="1:33" x14ac:dyDescent="0.2">
      <c r="A18" s="8">
        <v>3447</v>
      </c>
      <c r="B18" s="9" t="s">
        <v>73</v>
      </c>
      <c r="C18" s="10">
        <v>43299</v>
      </c>
      <c r="D18" s="11">
        <v>31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98</v>
      </c>
      <c r="J18" s="12" t="s">
        <v>99</v>
      </c>
      <c r="K18" s="13" t="s">
        <v>66</v>
      </c>
      <c r="L18" s="11" t="str">
        <f>"000025"</f>
        <v>000025</v>
      </c>
      <c r="M18" s="10">
        <v>41221</v>
      </c>
      <c r="N18" s="11" t="str">
        <f>"014"</f>
        <v>014</v>
      </c>
      <c r="O18" s="10">
        <v>17</v>
      </c>
      <c r="P18" s="11" t="str">
        <f>"060"</f>
        <v>060</v>
      </c>
      <c r="Q18" s="10">
        <v>17</v>
      </c>
      <c r="R18" s="11">
        <v>12</v>
      </c>
      <c r="S18" s="11" t="str">
        <f>"003495"</f>
        <v>003495</v>
      </c>
      <c r="T18" s="10">
        <v>43291</v>
      </c>
      <c r="U18" s="14">
        <v>1.2654300000000001</v>
      </c>
      <c r="V18" s="14">
        <v>0.1744</v>
      </c>
      <c r="W18" s="14">
        <v>1.0910299999999999</v>
      </c>
      <c r="X18" s="11">
        <v>127</v>
      </c>
      <c r="Y18" s="10">
        <v>43299</v>
      </c>
      <c r="Z18" s="11">
        <v>9901967054</v>
      </c>
      <c r="AA18" s="12" t="s">
        <v>100</v>
      </c>
      <c r="AB18" s="11" t="s">
        <v>101</v>
      </c>
      <c r="AC18" s="12" t="s">
        <v>102</v>
      </c>
      <c r="AD18" s="11" t="s">
        <v>78</v>
      </c>
      <c r="AE18" s="12" t="s">
        <v>79</v>
      </c>
      <c r="AF18" s="14">
        <v>1.26543E-2</v>
      </c>
      <c r="AG18" s="11" t="s">
        <v>46</v>
      </c>
    </row>
    <row r="19" spans="1:33" x14ac:dyDescent="0.2">
      <c r="A19" s="8">
        <v>3448</v>
      </c>
      <c r="B19" s="9" t="s">
        <v>73</v>
      </c>
      <c r="C19" s="10">
        <v>43299</v>
      </c>
      <c r="D19" s="11">
        <v>31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103</v>
      </c>
      <c r="J19" s="12" t="s">
        <v>104</v>
      </c>
      <c r="K19" s="13" t="s">
        <v>66</v>
      </c>
      <c r="L19" s="11" t="str">
        <f>"000073"</f>
        <v>000073</v>
      </c>
      <c r="M19" s="10">
        <v>42515</v>
      </c>
      <c r="N19" s="11" t="str">
        <f>"000179"</f>
        <v>000179</v>
      </c>
      <c r="O19" s="10">
        <v>42745</v>
      </c>
      <c r="P19" s="11" t="str">
        <f>"000369"</f>
        <v>000369</v>
      </c>
      <c r="Q19" s="10">
        <v>42755</v>
      </c>
      <c r="R19" s="11">
        <v>16</v>
      </c>
      <c r="S19" s="11" t="str">
        <f>"003825"</f>
        <v>003825</v>
      </c>
      <c r="T19" s="10">
        <v>43297</v>
      </c>
      <c r="U19" s="14">
        <v>12.398300000000001</v>
      </c>
      <c r="V19" s="14">
        <v>1.6340300000000001</v>
      </c>
      <c r="W19" s="14">
        <v>10.76427</v>
      </c>
      <c r="X19" s="11">
        <v>128</v>
      </c>
      <c r="Y19" s="10">
        <v>43299</v>
      </c>
      <c r="Z19" s="11">
        <v>9845030601</v>
      </c>
      <c r="AA19" s="12" t="s">
        <v>60</v>
      </c>
      <c r="AB19" s="11" t="s">
        <v>105</v>
      </c>
      <c r="AC19" s="12" t="s">
        <v>106</v>
      </c>
      <c r="AD19" s="11" t="s">
        <v>44</v>
      </c>
      <c r="AE19" s="12" t="s">
        <v>45</v>
      </c>
      <c r="AF19" s="14">
        <v>0.12398300000000001</v>
      </c>
      <c r="AG19" s="11" t="s">
        <v>46</v>
      </c>
    </row>
    <row r="20" spans="1:33" x14ac:dyDescent="0.2">
      <c r="A20" s="8">
        <v>3449</v>
      </c>
      <c r="B20" s="9" t="s">
        <v>73</v>
      </c>
      <c r="C20" s="10">
        <v>43299</v>
      </c>
      <c r="D20" s="11">
        <v>31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107</v>
      </c>
      <c r="J20" s="12" t="s">
        <v>108</v>
      </c>
      <c r="K20" s="13" t="s">
        <v>40</v>
      </c>
      <c r="L20" s="11" t="str">
        <f>"000082"</f>
        <v>000082</v>
      </c>
      <c r="M20" s="10">
        <v>42524</v>
      </c>
      <c r="N20" s="11" t="str">
        <f>"000178"</f>
        <v>000178</v>
      </c>
      <c r="O20" s="10">
        <v>42745</v>
      </c>
      <c r="P20" s="11" t="str">
        <f>"000370"</f>
        <v>000370</v>
      </c>
      <c r="Q20" s="10">
        <v>42755</v>
      </c>
      <c r="R20" s="11">
        <v>16</v>
      </c>
      <c r="S20" s="11" t="str">
        <f>"003826"</f>
        <v>003826</v>
      </c>
      <c r="T20" s="10">
        <v>43297</v>
      </c>
      <c r="U20" s="14">
        <v>15.7005</v>
      </c>
      <c r="V20" s="14">
        <v>2.1342599999999998</v>
      </c>
      <c r="W20" s="14">
        <v>13.566240000000001</v>
      </c>
      <c r="X20" s="11">
        <v>128</v>
      </c>
      <c r="Y20" s="10">
        <v>43299</v>
      </c>
      <c r="Z20" s="11">
        <v>9845030601</v>
      </c>
      <c r="AA20" s="12" t="s">
        <v>41</v>
      </c>
      <c r="AB20" s="11" t="s">
        <v>76</v>
      </c>
      <c r="AC20" s="12" t="s">
        <v>77</v>
      </c>
      <c r="AD20" s="11" t="s">
        <v>44</v>
      </c>
      <c r="AE20" s="12" t="s">
        <v>45</v>
      </c>
      <c r="AF20" s="14">
        <v>0.15700500000000001</v>
      </c>
      <c r="AG20" s="11" t="s">
        <v>46</v>
      </c>
    </row>
    <row r="21" spans="1:33" x14ac:dyDescent="0.2">
      <c r="A21" s="8">
        <v>3708</v>
      </c>
      <c r="B21" s="9" t="s">
        <v>73</v>
      </c>
      <c r="C21" s="10">
        <v>43301</v>
      </c>
      <c r="D21" s="11">
        <v>31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109</v>
      </c>
      <c r="J21" s="12" t="s">
        <v>110</v>
      </c>
      <c r="K21" s="13" t="s">
        <v>66</v>
      </c>
      <c r="L21" s="11" t="str">
        <f>"000127"</f>
        <v>000127</v>
      </c>
      <c r="M21" s="10">
        <v>43152</v>
      </c>
      <c r="N21" s="11" t="str">
        <f>"000185"</f>
        <v>000185</v>
      </c>
      <c r="O21" s="10">
        <v>43154</v>
      </c>
      <c r="P21" s="11" t="str">
        <f>"000170"</f>
        <v>000170</v>
      </c>
      <c r="Q21" s="10">
        <v>43154</v>
      </c>
      <c r="R21" s="11">
        <v>16</v>
      </c>
      <c r="S21" s="11" t="str">
        <f>"003937"</f>
        <v>003937</v>
      </c>
      <c r="T21" s="10">
        <v>43299</v>
      </c>
      <c r="U21" s="14">
        <v>8.3478399999999997</v>
      </c>
      <c r="V21" s="14">
        <v>0.86146</v>
      </c>
      <c r="W21" s="14">
        <v>7.4863799999999996</v>
      </c>
      <c r="X21" s="11">
        <v>134</v>
      </c>
      <c r="Y21" s="10">
        <v>43301</v>
      </c>
      <c r="Z21" s="11">
        <v>9901967054</v>
      </c>
      <c r="AA21" s="12" t="s">
        <v>111</v>
      </c>
      <c r="AB21" s="11" t="s">
        <v>101</v>
      </c>
      <c r="AC21" s="12" t="s">
        <v>102</v>
      </c>
      <c r="AD21" s="11" t="s">
        <v>78</v>
      </c>
      <c r="AE21" s="12" t="s">
        <v>79</v>
      </c>
      <c r="AF21" s="14">
        <v>8.3478399999999994E-2</v>
      </c>
      <c r="AG21" s="11" t="s">
        <v>46</v>
      </c>
    </row>
    <row r="22" spans="1:33" x14ac:dyDescent="0.2">
      <c r="A22" s="8">
        <v>3709</v>
      </c>
      <c r="B22" s="9" t="s">
        <v>73</v>
      </c>
      <c r="C22" s="10">
        <v>43301</v>
      </c>
      <c r="D22" s="11">
        <v>31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109</v>
      </c>
      <c r="J22" s="12" t="s">
        <v>110</v>
      </c>
      <c r="K22" s="13" t="s">
        <v>66</v>
      </c>
      <c r="L22" s="11" t="str">
        <f>"000127"</f>
        <v>000127</v>
      </c>
      <c r="M22" s="10">
        <v>43152</v>
      </c>
      <c r="N22" s="11" t="str">
        <f>"000185"</f>
        <v>000185</v>
      </c>
      <c r="O22" s="10">
        <v>43154</v>
      </c>
      <c r="P22" s="11" t="str">
        <f>"000170"</f>
        <v>000170</v>
      </c>
      <c r="Q22" s="10">
        <v>43154</v>
      </c>
      <c r="R22" s="11">
        <v>16</v>
      </c>
      <c r="S22" s="11" t="str">
        <f>"003937"</f>
        <v>003937</v>
      </c>
      <c r="T22" s="10">
        <v>43299</v>
      </c>
      <c r="U22" s="14">
        <v>11.018470000000001</v>
      </c>
      <c r="V22" s="14">
        <v>0.93332999999999999</v>
      </c>
      <c r="W22" s="14">
        <v>10.085140000000001</v>
      </c>
      <c r="X22" s="11">
        <v>134</v>
      </c>
      <c r="Y22" s="10">
        <v>43301</v>
      </c>
      <c r="Z22" s="11">
        <v>9901967054</v>
      </c>
      <c r="AA22" s="12" t="s">
        <v>111</v>
      </c>
      <c r="AB22" s="11" t="s">
        <v>101</v>
      </c>
      <c r="AC22" s="12" t="s">
        <v>102</v>
      </c>
      <c r="AD22" s="11" t="s">
        <v>78</v>
      </c>
      <c r="AE22" s="12" t="s">
        <v>79</v>
      </c>
      <c r="AF22" s="14">
        <v>0.11018470000000001</v>
      </c>
      <c r="AG22" s="11" t="s">
        <v>46</v>
      </c>
    </row>
    <row r="23" spans="1:33" x14ac:dyDescent="0.2">
      <c r="A23" s="8">
        <v>3898</v>
      </c>
      <c r="B23" s="9" t="s">
        <v>73</v>
      </c>
      <c r="C23" s="10">
        <v>43305</v>
      </c>
      <c r="D23" s="11">
        <v>31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112</v>
      </c>
      <c r="J23" s="12" t="s">
        <v>113</v>
      </c>
      <c r="K23" s="13" t="s">
        <v>40</v>
      </c>
      <c r="L23" s="11" t="str">
        <f>"000486"</f>
        <v>000486</v>
      </c>
      <c r="M23" s="10">
        <v>41702</v>
      </c>
      <c r="N23" s="11" t="str">
        <f>"000243"</f>
        <v>000243</v>
      </c>
      <c r="O23" s="10">
        <v>42033</v>
      </c>
      <c r="P23" s="11" t="str">
        <f>"000690"</f>
        <v>000690</v>
      </c>
      <c r="Q23" s="10">
        <v>42035</v>
      </c>
      <c r="R23" s="11">
        <v>14</v>
      </c>
      <c r="S23" s="11" t="str">
        <f>"003453"</f>
        <v>003453</v>
      </c>
      <c r="T23" s="10">
        <v>43291</v>
      </c>
      <c r="U23" s="14">
        <v>5.1246</v>
      </c>
      <c r="V23" s="14">
        <v>0.52210000000000001</v>
      </c>
      <c r="W23" s="14">
        <v>4.6025</v>
      </c>
      <c r="X23" s="11">
        <v>138</v>
      </c>
      <c r="Y23" s="10">
        <v>43305</v>
      </c>
      <c r="Z23" s="11">
        <v>8867810336</v>
      </c>
      <c r="AA23" s="12" t="s">
        <v>114</v>
      </c>
      <c r="AB23" s="11" t="s">
        <v>51</v>
      </c>
      <c r="AC23" s="12" t="s">
        <v>52</v>
      </c>
      <c r="AD23" s="11" t="s">
        <v>44</v>
      </c>
      <c r="AE23" s="12" t="s">
        <v>45</v>
      </c>
      <c r="AF23" s="14">
        <v>5.1246E-2</v>
      </c>
      <c r="AG23" s="11" t="s">
        <v>46</v>
      </c>
    </row>
    <row r="24" spans="1:33" x14ac:dyDescent="0.2">
      <c r="A24" s="8">
        <v>3899</v>
      </c>
      <c r="B24" s="9" t="s">
        <v>73</v>
      </c>
      <c r="C24" s="10">
        <v>43305</v>
      </c>
      <c r="D24" s="11">
        <v>31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115</v>
      </c>
      <c r="J24" s="12" t="s">
        <v>116</v>
      </c>
      <c r="K24" s="13" t="s">
        <v>40</v>
      </c>
      <c r="L24" s="11" t="str">
        <f>"000072"</f>
        <v>000072</v>
      </c>
      <c r="M24" s="10">
        <v>42515</v>
      </c>
      <c r="N24" s="11" t="str">
        <f>"000177"</f>
        <v>000177</v>
      </c>
      <c r="O24" s="10">
        <v>42745</v>
      </c>
      <c r="P24" s="11" t="str">
        <f>"000371"</f>
        <v>000371</v>
      </c>
      <c r="Q24" s="10">
        <v>42755</v>
      </c>
      <c r="R24" s="11">
        <v>16</v>
      </c>
      <c r="S24" s="11" t="str">
        <f>"004116"</f>
        <v>004116</v>
      </c>
      <c r="T24" s="10">
        <v>43301</v>
      </c>
      <c r="U24" s="14">
        <v>14.70194</v>
      </c>
      <c r="V24" s="14">
        <v>2.0146199999999999</v>
      </c>
      <c r="W24" s="14">
        <v>12.68732</v>
      </c>
      <c r="X24" s="11">
        <v>139</v>
      </c>
      <c r="Y24" s="10">
        <v>43305</v>
      </c>
      <c r="Z24" s="11">
        <v>9845030601</v>
      </c>
      <c r="AA24" s="12" t="s">
        <v>60</v>
      </c>
      <c r="AB24" s="11" t="s">
        <v>105</v>
      </c>
      <c r="AC24" s="12" t="s">
        <v>106</v>
      </c>
      <c r="AD24" s="11" t="s">
        <v>44</v>
      </c>
      <c r="AE24" s="12" t="s">
        <v>45</v>
      </c>
      <c r="AF24" s="14">
        <v>0.14701939999999999</v>
      </c>
      <c r="AG24" s="11" t="s">
        <v>46</v>
      </c>
    </row>
    <row r="25" spans="1:33" x14ac:dyDescent="0.2">
      <c r="A25" s="8">
        <v>4661</v>
      </c>
      <c r="B25" s="9" t="s">
        <v>117</v>
      </c>
      <c r="C25" s="10">
        <v>43325</v>
      </c>
      <c r="D25" s="11">
        <v>31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118</v>
      </c>
      <c r="J25" s="12" t="s">
        <v>119</v>
      </c>
      <c r="K25" s="13" t="s">
        <v>40</v>
      </c>
      <c r="L25" s="11" t="str">
        <f>"000240"</f>
        <v>000240</v>
      </c>
      <c r="M25" s="10">
        <v>43185</v>
      </c>
      <c r="N25" s="11" t="str">
        <f>"000045"</f>
        <v>000045</v>
      </c>
      <c r="O25" s="10">
        <v>43278</v>
      </c>
      <c r="P25" s="11" t="str">
        <f>"000064"</f>
        <v>000064</v>
      </c>
      <c r="Q25" s="10">
        <v>43278</v>
      </c>
      <c r="R25" s="11">
        <v>18</v>
      </c>
      <c r="S25" s="11" t="str">
        <f>"004062"</f>
        <v>004062</v>
      </c>
      <c r="T25" s="10">
        <v>43301</v>
      </c>
      <c r="U25" s="14">
        <v>24.092179999999999</v>
      </c>
      <c r="V25" s="14">
        <v>2.29305</v>
      </c>
      <c r="W25" s="14">
        <v>21.799130000000002</v>
      </c>
      <c r="X25" s="11">
        <v>166</v>
      </c>
      <c r="Y25" s="10">
        <v>43325</v>
      </c>
      <c r="Z25" s="11">
        <v>9945695989</v>
      </c>
      <c r="AA25" s="12" t="s">
        <v>60</v>
      </c>
      <c r="AB25" s="11" t="s">
        <v>69</v>
      </c>
      <c r="AC25" s="12" t="s">
        <v>70</v>
      </c>
      <c r="AD25" s="11" t="s">
        <v>44</v>
      </c>
      <c r="AE25" s="12" t="s">
        <v>45</v>
      </c>
      <c r="AF25" s="14">
        <v>0.24092179999999999</v>
      </c>
      <c r="AG25" s="11" t="s">
        <v>63</v>
      </c>
    </row>
    <row r="26" spans="1:33" x14ac:dyDescent="0.2">
      <c r="A26" s="8">
        <v>4748</v>
      </c>
      <c r="B26" s="9" t="s">
        <v>117</v>
      </c>
      <c r="C26" s="10">
        <v>43326</v>
      </c>
      <c r="D26" s="11">
        <v>31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120</v>
      </c>
      <c r="J26" s="12" t="s">
        <v>121</v>
      </c>
      <c r="K26" s="13" t="s">
        <v>40</v>
      </c>
      <c r="L26" s="11" t="str">
        <f>"000128"</f>
        <v>000128</v>
      </c>
      <c r="M26" s="10">
        <v>41949</v>
      </c>
      <c r="N26" s="11" t="str">
        <f>"00O125"</f>
        <v>00O125</v>
      </c>
      <c r="O26" s="10">
        <v>42916</v>
      </c>
      <c r="P26" s="11" t="str">
        <f>"00.186"</f>
        <v>00.186</v>
      </c>
      <c r="Q26" s="10">
        <v>42916</v>
      </c>
      <c r="R26" s="11">
        <v>14</v>
      </c>
      <c r="S26" s="11" t="str">
        <f>"005125"</f>
        <v>005125</v>
      </c>
      <c r="T26" s="10">
        <v>43325</v>
      </c>
      <c r="U26" s="14">
        <v>4.5260999999999996</v>
      </c>
      <c r="V26" s="14">
        <v>0.37190000000000001</v>
      </c>
      <c r="W26" s="14">
        <v>4.1542000000000003</v>
      </c>
      <c r="X26" s="11">
        <v>172</v>
      </c>
      <c r="Y26" s="10">
        <v>43326</v>
      </c>
      <c r="Z26" s="11">
        <v>9986431786</v>
      </c>
      <c r="AA26" s="12" t="s">
        <v>122</v>
      </c>
      <c r="AB26" s="11" t="s">
        <v>51</v>
      </c>
      <c r="AC26" s="12" t="s">
        <v>52</v>
      </c>
      <c r="AD26" s="11" t="s">
        <v>44</v>
      </c>
      <c r="AE26" s="12" t="s">
        <v>45</v>
      </c>
      <c r="AF26" s="14">
        <v>4.5260999999999996E-2</v>
      </c>
      <c r="AG26" s="11" t="s">
        <v>46</v>
      </c>
    </row>
    <row r="27" spans="1:33" x14ac:dyDescent="0.2">
      <c r="A27" s="8">
        <v>4749</v>
      </c>
      <c r="B27" s="9" t="s">
        <v>117</v>
      </c>
      <c r="C27" s="10">
        <v>43326</v>
      </c>
      <c r="D27" s="11">
        <v>31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123</v>
      </c>
      <c r="J27" s="12" t="s">
        <v>124</v>
      </c>
      <c r="K27" s="13" t="s">
        <v>66</v>
      </c>
      <c r="L27" s="11" t="str">
        <f>"000017"</f>
        <v>000017</v>
      </c>
      <c r="M27" s="10">
        <v>42941</v>
      </c>
      <c r="N27" s="11" t="str">
        <f>"000025"</f>
        <v>000025</v>
      </c>
      <c r="O27" s="10">
        <v>42948</v>
      </c>
      <c r="P27" s="11" t="str">
        <f>"000103"</f>
        <v>000103</v>
      </c>
      <c r="Q27" s="10">
        <v>42916</v>
      </c>
      <c r="R27" s="11">
        <v>16</v>
      </c>
      <c r="S27" s="11" t="str">
        <f>"005147"</f>
        <v>005147</v>
      </c>
      <c r="T27" s="10">
        <v>43325</v>
      </c>
      <c r="U27" s="14">
        <v>22.693020000000001</v>
      </c>
      <c r="V27" s="14">
        <v>3.3302999999999998</v>
      </c>
      <c r="W27" s="14">
        <v>19.362719999999999</v>
      </c>
      <c r="X27" s="11">
        <v>172</v>
      </c>
      <c r="Y27" s="10">
        <v>43326</v>
      </c>
      <c r="Z27" s="11">
        <v>9945525730</v>
      </c>
      <c r="AA27" s="12" t="s">
        <v>125</v>
      </c>
      <c r="AB27" s="11" t="s">
        <v>126</v>
      </c>
      <c r="AC27" s="12" t="s">
        <v>127</v>
      </c>
      <c r="AD27" s="11" t="s">
        <v>78</v>
      </c>
      <c r="AE27" s="12" t="s">
        <v>79</v>
      </c>
      <c r="AF27" s="14">
        <v>0.2269302</v>
      </c>
      <c r="AG27" s="11" t="s">
        <v>46</v>
      </c>
    </row>
    <row r="28" spans="1:33" x14ac:dyDescent="0.2">
      <c r="A28" s="8">
        <v>4750</v>
      </c>
      <c r="B28" s="9" t="s">
        <v>117</v>
      </c>
      <c r="C28" s="10">
        <v>43326</v>
      </c>
      <c r="D28" s="11">
        <v>31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128</v>
      </c>
      <c r="J28" s="12" t="s">
        <v>129</v>
      </c>
      <c r="K28" s="13" t="s">
        <v>66</v>
      </c>
      <c r="L28" s="11" t="str">
        <f>"000019"</f>
        <v>000019</v>
      </c>
      <c r="M28" s="10">
        <v>42942</v>
      </c>
      <c r="N28" s="11" t="str">
        <f>"000023"</f>
        <v>000023</v>
      </c>
      <c r="O28" s="10">
        <v>42948</v>
      </c>
      <c r="P28" s="11" t="str">
        <f>"000105"</f>
        <v>000105</v>
      </c>
      <c r="Q28" s="10">
        <v>42916</v>
      </c>
      <c r="R28" s="11">
        <v>17</v>
      </c>
      <c r="S28" s="11" t="str">
        <f>"005149"</f>
        <v>005149</v>
      </c>
      <c r="T28" s="10">
        <v>43325</v>
      </c>
      <c r="U28" s="14">
        <v>47.942819999999998</v>
      </c>
      <c r="V28" s="14">
        <v>7.0183</v>
      </c>
      <c r="W28" s="14">
        <v>40.924520000000001</v>
      </c>
      <c r="X28" s="11">
        <v>172</v>
      </c>
      <c r="Y28" s="10">
        <v>43326</v>
      </c>
      <c r="Z28" s="11">
        <v>9945525730</v>
      </c>
      <c r="AA28" s="12" t="s">
        <v>125</v>
      </c>
      <c r="AB28" s="11" t="s">
        <v>126</v>
      </c>
      <c r="AC28" s="12" t="s">
        <v>127</v>
      </c>
      <c r="AD28" s="11" t="s">
        <v>78</v>
      </c>
      <c r="AE28" s="12" t="s">
        <v>79</v>
      </c>
      <c r="AF28" s="14">
        <v>0.47942819999999997</v>
      </c>
      <c r="AG28" s="11" t="s">
        <v>46</v>
      </c>
    </row>
    <row r="29" spans="1:33" x14ac:dyDescent="0.2">
      <c r="A29" s="8">
        <v>5126</v>
      </c>
      <c r="B29" s="9" t="s">
        <v>117</v>
      </c>
      <c r="C29" s="10">
        <v>43339</v>
      </c>
      <c r="D29" s="11">
        <v>31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130</v>
      </c>
      <c r="J29" s="12" t="s">
        <v>131</v>
      </c>
      <c r="K29" s="13" t="s">
        <v>66</v>
      </c>
      <c r="L29" s="11" t="str">
        <f>"000038"</f>
        <v>000038</v>
      </c>
      <c r="M29" s="10">
        <v>43253</v>
      </c>
      <c r="N29" s="11" t="str">
        <f>"000073"</f>
        <v>000073</v>
      </c>
      <c r="O29" s="10">
        <v>43298</v>
      </c>
      <c r="P29" s="11" t="str">
        <f>"000074"</f>
        <v>000074</v>
      </c>
      <c r="Q29" s="10">
        <v>43300</v>
      </c>
      <c r="R29" s="11">
        <v>17</v>
      </c>
      <c r="S29" s="11" t="str">
        <f>"005407"</f>
        <v>005407</v>
      </c>
      <c r="T29" s="10">
        <v>43339</v>
      </c>
      <c r="U29" s="14">
        <v>5.5259999999999998</v>
      </c>
      <c r="V29" s="14">
        <v>0.1951</v>
      </c>
      <c r="W29" s="14">
        <v>5.3308999999999997</v>
      </c>
      <c r="X29" s="11">
        <v>184</v>
      </c>
      <c r="Y29" s="10">
        <v>43339</v>
      </c>
      <c r="Z29" s="11">
        <v>9901967054</v>
      </c>
      <c r="AA29" s="12" t="s">
        <v>132</v>
      </c>
      <c r="AB29" s="11" t="s">
        <v>42</v>
      </c>
      <c r="AC29" s="12" t="s">
        <v>43</v>
      </c>
      <c r="AD29" s="11" t="s">
        <v>78</v>
      </c>
      <c r="AE29" s="12" t="s">
        <v>79</v>
      </c>
      <c r="AF29" s="14">
        <v>5.5259999999999997E-2</v>
      </c>
      <c r="AG29" s="11" t="s">
        <v>133</v>
      </c>
    </row>
    <row r="30" spans="1:33" x14ac:dyDescent="0.2">
      <c r="A30" s="8">
        <v>5196</v>
      </c>
      <c r="B30" s="9" t="s">
        <v>134</v>
      </c>
      <c r="C30" s="10">
        <v>43346</v>
      </c>
      <c r="D30" s="11">
        <v>31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135</v>
      </c>
      <c r="J30" s="12" t="s">
        <v>136</v>
      </c>
      <c r="K30" s="13" t="s">
        <v>40</v>
      </c>
      <c r="L30" s="11" t="str">
        <f>"000237"</f>
        <v>000237</v>
      </c>
      <c r="M30" s="10">
        <v>43185</v>
      </c>
      <c r="N30" s="11" t="str">
        <f>"000085"</f>
        <v>000085</v>
      </c>
      <c r="O30" s="10">
        <v>43321</v>
      </c>
      <c r="P30" s="11" t="str">
        <f>"000112"</f>
        <v>000112</v>
      </c>
      <c r="Q30" s="10">
        <v>43321</v>
      </c>
      <c r="R30" s="11">
        <v>18</v>
      </c>
      <c r="S30" s="11" t="str">
        <f>"005420"</f>
        <v>005420</v>
      </c>
      <c r="T30" s="10">
        <v>43340</v>
      </c>
      <c r="U30" s="14">
        <v>24.3264</v>
      </c>
      <c r="V30" s="14">
        <v>2.2444500000000001</v>
      </c>
      <c r="W30" s="14">
        <v>22.081949999999999</v>
      </c>
      <c r="X30" s="11">
        <v>187</v>
      </c>
      <c r="Y30" s="10">
        <v>43346</v>
      </c>
      <c r="Z30" s="11">
        <v>9945695989</v>
      </c>
      <c r="AA30" s="12" t="s">
        <v>60</v>
      </c>
      <c r="AB30" s="11" t="s">
        <v>69</v>
      </c>
      <c r="AC30" s="12" t="s">
        <v>70</v>
      </c>
      <c r="AD30" s="11" t="s">
        <v>44</v>
      </c>
      <c r="AE30" s="12" t="s">
        <v>45</v>
      </c>
      <c r="AF30" s="14">
        <f t="shared" ref="AF30:AF57" si="0">U30/100</f>
        <v>0.24326400000000001</v>
      </c>
      <c r="AG30" s="11" t="s">
        <v>63</v>
      </c>
    </row>
    <row r="31" spans="1:33" x14ac:dyDescent="0.2">
      <c r="A31" s="8">
        <v>5197</v>
      </c>
      <c r="B31" s="9" t="s">
        <v>134</v>
      </c>
      <c r="C31" s="10">
        <v>43346</v>
      </c>
      <c r="D31" s="11">
        <v>31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137</v>
      </c>
      <c r="J31" s="12" t="s">
        <v>138</v>
      </c>
      <c r="K31" s="13" t="s">
        <v>139</v>
      </c>
      <c r="L31" s="11" t="str">
        <f>"00O127"</f>
        <v>00O127</v>
      </c>
      <c r="M31" s="10">
        <v>41949</v>
      </c>
      <c r="N31" s="11" t="str">
        <f>"000124"</f>
        <v>000124</v>
      </c>
      <c r="O31" s="10">
        <v>42916</v>
      </c>
      <c r="P31" s="11" t="str">
        <f>"000174"</f>
        <v>000174</v>
      </c>
      <c r="Q31" s="10">
        <v>42916</v>
      </c>
      <c r="R31" s="11">
        <v>14</v>
      </c>
      <c r="S31" s="11" t="str">
        <f>"005503"</f>
        <v>005503</v>
      </c>
      <c r="T31" s="10">
        <v>43340</v>
      </c>
      <c r="U31" s="14">
        <v>2.9151400000000001</v>
      </c>
      <c r="V31" s="14">
        <v>0.1918</v>
      </c>
      <c r="W31" s="14">
        <v>2.7233399999999999</v>
      </c>
      <c r="X31" s="11">
        <v>189</v>
      </c>
      <c r="Y31" s="10">
        <v>43346</v>
      </c>
      <c r="Z31" s="11">
        <v>9845263578</v>
      </c>
      <c r="AA31" s="12" t="s">
        <v>122</v>
      </c>
      <c r="AB31" s="11" t="s">
        <v>51</v>
      </c>
      <c r="AC31" s="12" t="s">
        <v>52</v>
      </c>
      <c r="AD31" s="11" t="s">
        <v>44</v>
      </c>
      <c r="AE31" s="12" t="s">
        <v>45</v>
      </c>
      <c r="AF31" s="14">
        <f t="shared" si="0"/>
        <v>2.9151400000000001E-2</v>
      </c>
      <c r="AG31" s="11" t="s">
        <v>46</v>
      </c>
    </row>
    <row r="32" spans="1:33" x14ac:dyDescent="0.2">
      <c r="A32" s="8">
        <v>5615</v>
      </c>
      <c r="B32" s="9" t="s">
        <v>134</v>
      </c>
      <c r="C32" s="10">
        <v>43370</v>
      </c>
      <c r="D32" s="11">
        <v>31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140</v>
      </c>
      <c r="J32" s="12" t="s">
        <v>141</v>
      </c>
      <c r="K32" s="13" t="s">
        <v>40</v>
      </c>
      <c r="L32" s="11" t="str">
        <f>"000078"</f>
        <v>000078</v>
      </c>
      <c r="M32" s="10">
        <v>42524</v>
      </c>
      <c r="N32" s="11" t="str">
        <f>"000575"</f>
        <v>000575</v>
      </c>
      <c r="O32" s="10">
        <v>42825</v>
      </c>
      <c r="P32" s="11" t="str">
        <f>"000004"</f>
        <v>000004</v>
      </c>
      <c r="Q32" s="10">
        <v>42849</v>
      </c>
      <c r="R32" s="11">
        <v>16</v>
      </c>
      <c r="S32" s="11" t="str">
        <f>"005849"</f>
        <v>005849</v>
      </c>
      <c r="T32" s="10">
        <v>43363</v>
      </c>
      <c r="U32" s="14">
        <v>13.44741</v>
      </c>
      <c r="V32" s="14">
        <v>1.85572</v>
      </c>
      <c r="W32" s="14">
        <v>11.59169</v>
      </c>
      <c r="X32" s="11">
        <v>217</v>
      </c>
      <c r="Y32" s="10">
        <v>43370</v>
      </c>
      <c r="Z32" s="11">
        <v>9845030601</v>
      </c>
      <c r="AA32" s="12" t="s">
        <v>41</v>
      </c>
      <c r="AB32" s="11" t="s">
        <v>76</v>
      </c>
      <c r="AC32" s="12" t="s">
        <v>77</v>
      </c>
      <c r="AD32" s="11" t="s">
        <v>44</v>
      </c>
      <c r="AE32" s="12" t="s">
        <v>45</v>
      </c>
      <c r="AF32" s="14">
        <f t="shared" si="0"/>
        <v>0.13447409999999999</v>
      </c>
      <c r="AG32" s="11" t="s">
        <v>46</v>
      </c>
    </row>
    <row r="33" spans="1:33" x14ac:dyDescent="0.2">
      <c r="A33" s="8">
        <v>5616</v>
      </c>
      <c r="B33" s="9" t="s">
        <v>134</v>
      </c>
      <c r="C33" s="10">
        <v>43370</v>
      </c>
      <c r="D33" s="11">
        <v>31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142</v>
      </c>
      <c r="J33" s="12" t="s">
        <v>143</v>
      </c>
      <c r="K33" s="13" t="s">
        <v>40</v>
      </c>
      <c r="L33" s="11" t="str">
        <f>"000063"</f>
        <v>000063</v>
      </c>
      <c r="M33" s="10">
        <v>42515</v>
      </c>
      <c r="N33" s="11" t="str">
        <f>"000574"</f>
        <v>000574</v>
      </c>
      <c r="O33" s="10">
        <v>42825</v>
      </c>
      <c r="P33" s="11" t="str">
        <f>"000005"</f>
        <v>000005</v>
      </c>
      <c r="Q33" s="10">
        <v>42849</v>
      </c>
      <c r="R33" s="11">
        <v>16</v>
      </c>
      <c r="S33" s="11" t="str">
        <f>"005850"</f>
        <v>005850</v>
      </c>
      <c r="T33" s="10">
        <v>43363</v>
      </c>
      <c r="U33" s="14">
        <v>11.88754</v>
      </c>
      <c r="V33" s="14">
        <v>1.6528799999999999</v>
      </c>
      <c r="W33" s="14">
        <v>10.23466</v>
      </c>
      <c r="X33" s="11">
        <v>217</v>
      </c>
      <c r="Y33" s="10">
        <v>43370</v>
      </c>
      <c r="Z33" s="11">
        <v>9845030601</v>
      </c>
      <c r="AA33" s="12" t="s">
        <v>60</v>
      </c>
      <c r="AB33" s="11" t="s">
        <v>105</v>
      </c>
      <c r="AC33" s="12" t="s">
        <v>106</v>
      </c>
      <c r="AD33" s="11" t="s">
        <v>44</v>
      </c>
      <c r="AE33" s="12" t="s">
        <v>45</v>
      </c>
      <c r="AF33" s="14">
        <f t="shared" si="0"/>
        <v>0.11887539999999999</v>
      </c>
      <c r="AG33" s="11" t="s">
        <v>46</v>
      </c>
    </row>
    <row r="34" spans="1:33" x14ac:dyDescent="0.2">
      <c r="A34" s="8">
        <v>5617</v>
      </c>
      <c r="B34" s="9" t="s">
        <v>134</v>
      </c>
      <c r="C34" s="10">
        <v>43370</v>
      </c>
      <c r="D34" s="11">
        <v>31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144</v>
      </c>
      <c r="J34" s="12" t="s">
        <v>145</v>
      </c>
      <c r="K34" s="13" t="s">
        <v>146</v>
      </c>
      <c r="L34" s="11" t="str">
        <f>"000086"</f>
        <v>000086</v>
      </c>
      <c r="M34" s="10">
        <v>42916</v>
      </c>
      <c r="N34" s="11" t="str">
        <f>"000043"</f>
        <v>000043</v>
      </c>
      <c r="O34" s="10">
        <v>43098</v>
      </c>
      <c r="P34" s="11" t="str">
        <f>"000079"</f>
        <v>000079</v>
      </c>
      <c r="Q34" s="10">
        <v>43099</v>
      </c>
      <c r="R34" s="11">
        <v>17</v>
      </c>
      <c r="S34" s="11" t="str">
        <f>"005939"</f>
        <v>005939</v>
      </c>
      <c r="T34" s="10">
        <v>43368</v>
      </c>
      <c r="U34" s="14">
        <v>49.968879999999999</v>
      </c>
      <c r="V34" s="14">
        <v>4.0971000000000002</v>
      </c>
      <c r="W34" s="14">
        <v>45.871780000000001</v>
      </c>
      <c r="X34" s="11">
        <v>218</v>
      </c>
      <c r="Y34" s="10">
        <v>43370</v>
      </c>
      <c r="Z34" s="11">
        <v>9620089500</v>
      </c>
      <c r="AA34" s="12" t="s">
        <v>60</v>
      </c>
      <c r="AB34" s="11" t="s">
        <v>147</v>
      </c>
      <c r="AC34" s="12" t="s">
        <v>148</v>
      </c>
      <c r="AD34" s="11" t="s">
        <v>44</v>
      </c>
      <c r="AE34" s="12" t="s">
        <v>45</v>
      </c>
      <c r="AF34" s="14">
        <f t="shared" si="0"/>
        <v>0.49968879999999999</v>
      </c>
      <c r="AG34" s="11" t="s">
        <v>46</v>
      </c>
    </row>
    <row r="35" spans="1:33" x14ac:dyDescent="0.2">
      <c r="A35" s="8">
        <v>5618</v>
      </c>
      <c r="B35" s="9" t="s">
        <v>134</v>
      </c>
      <c r="C35" s="10">
        <v>43370</v>
      </c>
      <c r="D35" s="11">
        <v>31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149</v>
      </c>
      <c r="J35" s="12" t="s">
        <v>150</v>
      </c>
      <c r="K35" s="13" t="s">
        <v>146</v>
      </c>
      <c r="L35" s="11" t="str">
        <f>"000032"</f>
        <v>000032</v>
      </c>
      <c r="M35" s="10">
        <v>42986</v>
      </c>
      <c r="N35" s="11" t="str">
        <f>"000046"</f>
        <v>000046</v>
      </c>
      <c r="O35" s="10">
        <v>43099</v>
      </c>
      <c r="P35" s="11" t="str">
        <f>"000080"</f>
        <v>000080</v>
      </c>
      <c r="Q35" s="10">
        <v>43099</v>
      </c>
      <c r="R35" s="11">
        <v>17</v>
      </c>
      <c r="S35" s="11" t="str">
        <f>"005940"</f>
        <v>005940</v>
      </c>
      <c r="T35" s="10">
        <v>43368</v>
      </c>
      <c r="U35" s="14">
        <v>9.7977600000000002</v>
      </c>
      <c r="V35" s="14">
        <v>0.82220000000000004</v>
      </c>
      <c r="W35" s="14">
        <v>8.9755599999999998</v>
      </c>
      <c r="X35" s="11">
        <v>218</v>
      </c>
      <c r="Y35" s="10">
        <v>43370</v>
      </c>
      <c r="Z35" s="11">
        <v>9620089500</v>
      </c>
      <c r="AA35" s="12" t="s">
        <v>41</v>
      </c>
      <c r="AB35" s="11" t="s">
        <v>151</v>
      </c>
      <c r="AC35" s="12" t="s">
        <v>152</v>
      </c>
      <c r="AD35" s="11" t="s">
        <v>44</v>
      </c>
      <c r="AE35" s="12" t="s">
        <v>45</v>
      </c>
      <c r="AF35" s="14">
        <f t="shared" si="0"/>
        <v>9.7977599999999998E-2</v>
      </c>
      <c r="AG35" s="11" t="s">
        <v>46</v>
      </c>
    </row>
    <row r="36" spans="1:33" x14ac:dyDescent="0.2">
      <c r="A36" s="8">
        <v>5959</v>
      </c>
      <c r="B36" s="9" t="s">
        <v>153</v>
      </c>
      <c r="C36" s="10">
        <v>43385</v>
      </c>
      <c r="D36" s="11">
        <v>31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154</v>
      </c>
      <c r="J36" s="12" t="s">
        <v>155</v>
      </c>
      <c r="K36" s="13" t="s">
        <v>66</v>
      </c>
      <c r="L36" s="11" t="str">
        <f>"000240"</f>
        <v>000240</v>
      </c>
      <c r="M36" s="10">
        <v>42809</v>
      </c>
      <c r="N36" s="11" t="str">
        <f>"000031"</f>
        <v>000031</v>
      </c>
      <c r="O36" s="10">
        <v>42853</v>
      </c>
      <c r="P36" s="11" t="str">
        <f>"000022"</f>
        <v>000022</v>
      </c>
      <c r="Q36" s="10">
        <v>42854</v>
      </c>
      <c r="R36" s="11">
        <v>17</v>
      </c>
      <c r="S36" s="11" t="str">
        <f>"006102"</f>
        <v>006102</v>
      </c>
      <c r="T36" s="10">
        <v>43376</v>
      </c>
      <c r="U36" s="14">
        <v>6.9379900000000001</v>
      </c>
      <c r="V36" s="14">
        <v>0.42776999999999998</v>
      </c>
      <c r="W36" s="14">
        <v>6.5102200000000003</v>
      </c>
      <c r="X36" s="11">
        <v>230</v>
      </c>
      <c r="Y36" s="10">
        <v>43385</v>
      </c>
      <c r="Z36" s="11">
        <v>9845843173</v>
      </c>
      <c r="AA36" s="12" t="s">
        <v>156</v>
      </c>
      <c r="AB36" s="11" t="s">
        <v>51</v>
      </c>
      <c r="AC36" s="12" t="s">
        <v>52</v>
      </c>
      <c r="AD36" s="11" t="s">
        <v>44</v>
      </c>
      <c r="AE36" s="12" t="s">
        <v>45</v>
      </c>
      <c r="AF36" s="14">
        <f t="shared" si="0"/>
        <v>6.9379899999999994E-2</v>
      </c>
      <c r="AG36" s="11" t="s">
        <v>46</v>
      </c>
    </row>
    <row r="37" spans="1:33" x14ac:dyDescent="0.2">
      <c r="A37" s="8">
        <v>5960</v>
      </c>
      <c r="B37" s="9" t="s">
        <v>153</v>
      </c>
      <c r="C37" s="10">
        <v>43385</v>
      </c>
      <c r="D37" s="11">
        <v>31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58</v>
      </c>
      <c r="J37" s="12" t="s">
        <v>59</v>
      </c>
      <c r="K37" s="13" t="s">
        <v>40</v>
      </c>
      <c r="L37" s="11" t="str">
        <f>"000248"</f>
        <v>000248</v>
      </c>
      <c r="M37" s="10">
        <v>43185</v>
      </c>
      <c r="N37" s="11" t="str">
        <f>"000080"</f>
        <v>000080</v>
      </c>
      <c r="O37" s="10">
        <v>43320</v>
      </c>
      <c r="P37" s="11" t="str">
        <f>"000107"</f>
        <v>000107</v>
      </c>
      <c r="Q37" s="10">
        <v>43321</v>
      </c>
      <c r="R37" s="11">
        <v>18</v>
      </c>
      <c r="S37" s="11" t="str">
        <f>"006600"</f>
        <v>006600</v>
      </c>
      <c r="T37" s="10">
        <v>43384</v>
      </c>
      <c r="U37" s="14">
        <v>44.657859999999999</v>
      </c>
      <c r="V37" s="14">
        <v>1.8614999999999999</v>
      </c>
      <c r="W37" s="14">
        <v>42.79636</v>
      </c>
      <c r="X37" s="11">
        <v>234</v>
      </c>
      <c r="Y37" s="10">
        <v>43385</v>
      </c>
      <c r="Z37" s="11">
        <v>9900980808</v>
      </c>
      <c r="AA37" s="12" t="s">
        <v>60</v>
      </c>
      <c r="AB37" s="11" t="s">
        <v>61</v>
      </c>
      <c r="AC37" s="12" t="s">
        <v>62</v>
      </c>
      <c r="AD37" s="11" t="s">
        <v>44</v>
      </c>
      <c r="AE37" s="12" t="s">
        <v>45</v>
      </c>
      <c r="AF37" s="14">
        <f t="shared" si="0"/>
        <v>0.44657859999999999</v>
      </c>
      <c r="AG37" s="11" t="s">
        <v>63</v>
      </c>
    </row>
    <row r="38" spans="1:33" x14ac:dyDescent="0.2">
      <c r="A38" s="8">
        <v>6512</v>
      </c>
      <c r="B38" s="9" t="s">
        <v>153</v>
      </c>
      <c r="C38" s="10">
        <v>43389</v>
      </c>
      <c r="D38" s="11">
        <v>31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157</v>
      </c>
      <c r="J38" s="12" t="s">
        <v>158</v>
      </c>
      <c r="K38" s="13" t="s">
        <v>146</v>
      </c>
      <c r="L38" s="11" t="str">
        <f>"000141"</f>
        <v>000141</v>
      </c>
      <c r="M38" s="10">
        <v>41976</v>
      </c>
      <c r="N38" s="11" t="str">
        <f>"000051"</f>
        <v>000051</v>
      </c>
      <c r="O38" s="10">
        <v>43112</v>
      </c>
      <c r="P38" s="11" t="str">
        <f>"000120"</f>
        <v>000120</v>
      </c>
      <c r="Q38" s="10">
        <v>43127</v>
      </c>
      <c r="R38" s="11">
        <v>14</v>
      </c>
      <c r="S38" s="11" t="str">
        <f>"006452"</f>
        <v>006452</v>
      </c>
      <c r="T38" s="10">
        <v>43382</v>
      </c>
      <c r="U38" s="14">
        <v>0.25</v>
      </c>
      <c r="V38" s="14">
        <v>2.5000000000000001E-3</v>
      </c>
      <c r="W38" s="14">
        <v>0.2475</v>
      </c>
      <c r="X38" s="11">
        <v>241</v>
      </c>
      <c r="Y38" s="10">
        <v>43389</v>
      </c>
      <c r="Z38" s="11">
        <v>9901999507</v>
      </c>
      <c r="AA38" s="12" t="s">
        <v>159</v>
      </c>
      <c r="AB38" s="11" t="s">
        <v>160</v>
      </c>
      <c r="AC38" s="12" t="s">
        <v>161</v>
      </c>
      <c r="AD38" s="11" t="s">
        <v>44</v>
      </c>
      <c r="AE38" s="12" t="s">
        <v>45</v>
      </c>
      <c r="AF38" s="14">
        <f t="shared" si="0"/>
        <v>2.5000000000000001E-3</v>
      </c>
      <c r="AG38" s="11" t="s">
        <v>46</v>
      </c>
    </row>
    <row r="39" spans="1:33" x14ac:dyDescent="0.2">
      <c r="A39" s="8">
        <v>6513</v>
      </c>
      <c r="B39" s="9" t="s">
        <v>153</v>
      </c>
      <c r="C39" s="10">
        <v>43389</v>
      </c>
      <c r="D39" s="11">
        <v>31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162</v>
      </c>
      <c r="J39" s="12" t="s">
        <v>163</v>
      </c>
      <c r="K39" s="13" t="s">
        <v>146</v>
      </c>
      <c r="L39" s="11" t="str">
        <f>"000033"</f>
        <v>000033</v>
      </c>
      <c r="M39" s="10">
        <v>42986</v>
      </c>
      <c r="N39" s="11" t="str">
        <f>"000045"</f>
        <v>000045</v>
      </c>
      <c r="O39" s="10">
        <v>43099</v>
      </c>
      <c r="P39" s="11" t="str">
        <f>"000082"</f>
        <v>000082</v>
      </c>
      <c r="Q39" s="10">
        <v>43099</v>
      </c>
      <c r="R39" s="11">
        <v>17</v>
      </c>
      <c r="S39" s="11" t="str">
        <f>"006579"</f>
        <v>006579</v>
      </c>
      <c r="T39" s="10">
        <v>43383</v>
      </c>
      <c r="U39" s="14">
        <v>9.8179800000000004</v>
      </c>
      <c r="V39" s="14">
        <v>0.81776000000000004</v>
      </c>
      <c r="W39" s="14">
        <v>9.0002200000000006</v>
      </c>
      <c r="X39" s="11">
        <v>241</v>
      </c>
      <c r="Y39" s="10">
        <v>43389</v>
      </c>
      <c r="Z39" s="11">
        <v>9620089500</v>
      </c>
      <c r="AA39" s="12" t="s">
        <v>41</v>
      </c>
      <c r="AB39" s="11" t="s">
        <v>151</v>
      </c>
      <c r="AC39" s="12" t="s">
        <v>152</v>
      </c>
      <c r="AD39" s="11" t="s">
        <v>44</v>
      </c>
      <c r="AE39" s="12" t="s">
        <v>45</v>
      </c>
      <c r="AF39" s="14">
        <f t="shared" si="0"/>
        <v>9.8179799999999998E-2</v>
      </c>
      <c r="AG39" s="11" t="s">
        <v>46</v>
      </c>
    </row>
    <row r="40" spans="1:33" x14ac:dyDescent="0.2">
      <c r="A40" s="8">
        <v>6733</v>
      </c>
      <c r="B40" s="9" t="s">
        <v>153</v>
      </c>
      <c r="C40" s="10">
        <v>43390</v>
      </c>
      <c r="D40" s="11">
        <v>31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164</v>
      </c>
      <c r="J40" s="12" t="s">
        <v>165</v>
      </c>
      <c r="K40" s="13" t="s">
        <v>66</v>
      </c>
      <c r="L40" s="11" t="str">
        <f>"000048"</f>
        <v>000048</v>
      </c>
      <c r="M40" s="10">
        <v>43313</v>
      </c>
      <c r="N40" s="11" t="str">
        <f>"000137"</f>
        <v>000137</v>
      </c>
      <c r="O40" s="10">
        <v>43357</v>
      </c>
      <c r="P40" s="11" t="str">
        <f>"000145"</f>
        <v>000145</v>
      </c>
      <c r="Q40" s="10">
        <v>43368</v>
      </c>
      <c r="R40" s="11">
        <v>18</v>
      </c>
      <c r="S40" s="11" t="str">
        <f>"006822"</f>
        <v>006822</v>
      </c>
      <c r="T40" s="10">
        <v>43389</v>
      </c>
      <c r="U40" s="14">
        <v>9.9830000000000005</v>
      </c>
      <c r="V40" s="14">
        <v>1.0585500000000001</v>
      </c>
      <c r="W40" s="14">
        <v>8.9244500000000002</v>
      </c>
      <c r="X40" s="11">
        <v>245</v>
      </c>
      <c r="Y40" s="10">
        <v>43390</v>
      </c>
      <c r="Z40" s="11">
        <v>9945525730</v>
      </c>
      <c r="AA40" s="12" t="s">
        <v>125</v>
      </c>
      <c r="AB40" s="11" t="s">
        <v>166</v>
      </c>
      <c r="AC40" s="12" t="s">
        <v>167</v>
      </c>
      <c r="AD40" s="11" t="s">
        <v>78</v>
      </c>
      <c r="AE40" s="12" t="s">
        <v>79</v>
      </c>
      <c r="AF40" s="14">
        <f t="shared" si="0"/>
        <v>9.9830000000000002E-2</v>
      </c>
      <c r="AG40" s="11" t="s">
        <v>133</v>
      </c>
    </row>
    <row r="41" spans="1:33" x14ac:dyDescent="0.2">
      <c r="A41" s="8">
        <v>6909</v>
      </c>
      <c r="B41" s="9" t="s">
        <v>153</v>
      </c>
      <c r="C41" s="10">
        <v>43402</v>
      </c>
      <c r="D41" s="11">
        <v>31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168</v>
      </c>
      <c r="J41" s="12" t="s">
        <v>169</v>
      </c>
      <c r="K41" s="13" t="s">
        <v>56</v>
      </c>
      <c r="L41" s="11" t="str">
        <f>"000007"</f>
        <v>000007</v>
      </c>
      <c r="M41" s="10">
        <v>43384</v>
      </c>
      <c r="N41" s="11" t="str">
        <f>"000026"</f>
        <v>000026</v>
      </c>
      <c r="O41" s="10">
        <v>43384</v>
      </c>
      <c r="P41" s="11" t="str">
        <f>"000032"</f>
        <v>000032</v>
      </c>
      <c r="Q41" s="10">
        <v>43385</v>
      </c>
      <c r="R41" s="11">
        <v>18</v>
      </c>
      <c r="S41" s="11" t="str">
        <f>"007034"</f>
        <v>007034</v>
      </c>
      <c r="T41" s="10">
        <v>43400</v>
      </c>
      <c r="U41" s="14">
        <v>96.544899999999998</v>
      </c>
      <c r="V41" s="14">
        <v>11.231109999999999</v>
      </c>
      <c r="W41" s="14">
        <v>85.313789999999997</v>
      </c>
      <c r="X41" s="11">
        <v>252</v>
      </c>
      <c r="Y41" s="10">
        <v>43402</v>
      </c>
      <c r="Z41" s="11">
        <v>9900980808</v>
      </c>
      <c r="AA41" s="12" t="s">
        <v>170</v>
      </c>
      <c r="AB41" s="11" t="s">
        <v>61</v>
      </c>
      <c r="AC41" s="12" t="s">
        <v>62</v>
      </c>
      <c r="AD41" s="11" t="s">
        <v>171</v>
      </c>
      <c r="AE41" s="12" t="s">
        <v>172</v>
      </c>
      <c r="AF41" s="14">
        <f t="shared" si="0"/>
        <v>0.965449</v>
      </c>
      <c r="AG41" s="11" t="s">
        <v>133</v>
      </c>
    </row>
    <row r="42" spans="1:33" x14ac:dyDescent="0.2">
      <c r="A42" s="8">
        <v>6910</v>
      </c>
      <c r="B42" s="9" t="s">
        <v>153</v>
      </c>
      <c r="C42" s="10">
        <v>43402</v>
      </c>
      <c r="D42" s="11">
        <v>31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173</v>
      </c>
      <c r="J42" s="12" t="s">
        <v>174</v>
      </c>
      <c r="K42" s="13" t="s">
        <v>56</v>
      </c>
      <c r="L42" s="11" t="str">
        <f>"000008"</f>
        <v>000008</v>
      </c>
      <c r="M42" s="10">
        <v>43384</v>
      </c>
      <c r="N42" s="11" t="str">
        <f>"000027"</f>
        <v>000027</v>
      </c>
      <c r="O42" s="10">
        <v>43385</v>
      </c>
      <c r="P42" s="11" t="str">
        <f>"000033"</f>
        <v>000033</v>
      </c>
      <c r="Q42" s="10">
        <v>43385</v>
      </c>
      <c r="R42" s="11">
        <v>18</v>
      </c>
      <c r="S42" s="11" t="str">
        <f>"007035"</f>
        <v>007035</v>
      </c>
      <c r="T42" s="10">
        <v>43400</v>
      </c>
      <c r="U42" s="14">
        <v>98.692700000000002</v>
      </c>
      <c r="V42" s="14">
        <v>11.58975</v>
      </c>
      <c r="W42" s="14">
        <v>87.102950000000007</v>
      </c>
      <c r="X42" s="11">
        <v>252</v>
      </c>
      <c r="Y42" s="10">
        <v>43402</v>
      </c>
      <c r="Z42" s="11">
        <v>9900980808</v>
      </c>
      <c r="AA42" s="12" t="s">
        <v>170</v>
      </c>
      <c r="AB42" s="11" t="s">
        <v>61</v>
      </c>
      <c r="AC42" s="12" t="s">
        <v>62</v>
      </c>
      <c r="AD42" s="11" t="s">
        <v>171</v>
      </c>
      <c r="AE42" s="12" t="s">
        <v>172</v>
      </c>
      <c r="AF42" s="14">
        <f t="shared" si="0"/>
        <v>0.986927</v>
      </c>
      <c r="AG42" s="11" t="s">
        <v>133</v>
      </c>
    </row>
    <row r="43" spans="1:33" x14ac:dyDescent="0.2">
      <c r="A43" s="8">
        <v>7052</v>
      </c>
      <c r="B43" s="9" t="s">
        <v>153</v>
      </c>
      <c r="C43" s="10">
        <v>43404</v>
      </c>
      <c r="D43" s="11">
        <v>31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175</v>
      </c>
      <c r="J43" s="12" t="s">
        <v>176</v>
      </c>
      <c r="K43" s="13" t="s">
        <v>177</v>
      </c>
      <c r="L43" s="11" t="str">
        <f>"000015"</f>
        <v>000015</v>
      </c>
      <c r="M43" s="10">
        <v>43283</v>
      </c>
      <c r="N43" s="11" t="str">
        <f>"000056"</f>
        <v>000056</v>
      </c>
      <c r="O43" s="10">
        <v>43285</v>
      </c>
      <c r="P43" s="11" t="str">
        <f>"000083"</f>
        <v>000083</v>
      </c>
      <c r="Q43" s="10">
        <v>43299</v>
      </c>
      <c r="R43" s="11">
        <v>18</v>
      </c>
      <c r="S43" s="11" t="str">
        <f>"007059"</f>
        <v>007059</v>
      </c>
      <c r="T43" s="10">
        <v>43400</v>
      </c>
      <c r="U43" s="14">
        <v>22.90767</v>
      </c>
      <c r="V43" s="14">
        <v>1.9817</v>
      </c>
      <c r="W43" s="14">
        <v>20.92597</v>
      </c>
      <c r="X43" s="11">
        <v>260</v>
      </c>
      <c r="Y43" s="10">
        <v>43404</v>
      </c>
      <c r="Z43" s="11">
        <v>9880224948</v>
      </c>
      <c r="AA43" s="12" t="s">
        <v>60</v>
      </c>
      <c r="AB43" s="11" t="s">
        <v>178</v>
      </c>
      <c r="AC43" s="12" t="s">
        <v>179</v>
      </c>
      <c r="AD43" s="11" t="s">
        <v>44</v>
      </c>
      <c r="AE43" s="12" t="s">
        <v>45</v>
      </c>
      <c r="AF43" s="14">
        <f t="shared" si="0"/>
        <v>0.22907669999999999</v>
      </c>
      <c r="AG43" s="11" t="s">
        <v>133</v>
      </c>
    </row>
    <row r="44" spans="1:33" x14ac:dyDescent="0.2">
      <c r="A44" s="8">
        <v>7145</v>
      </c>
      <c r="B44" s="9" t="s">
        <v>180</v>
      </c>
      <c r="C44" s="10">
        <v>43418</v>
      </c>
      <c r="D44" s="11">
        <v>31</v>
      </c>
      <c r="E44" s="12" t="s">
        <v>34</v>
      </c>
      <c r="F44" s="12" t="s">
        <v>35</v>
      </c>
      <c r="G44" s="12" t="s">
        <v>36</v>
      </c>
      <c r="H44" s="12" t="s">
        <v>37</v>
      </c>
      <c r="I44" s="11" t="s">
        <v>181</v>
      </c>
      <c r="J44" s="12" t="s">
        <v>182</v>
      </c>
      <c r="K44" s="13" t="s">
        <v>146</v>
      </c>
      <c r="L44" s="11" t="str">
        <f>"000060"</f>
        <v>000060</v>
      </c>
      <c r="M44" s="10">
        <v>42898</v>
      </c>
      <c r="N44" s="11" t="str">
        <f>"000023"</f>
        <v>000023</v>
      </c>
      <c r="O44" s="10">
        <v>43068</v>
      </c>
      <c r="P44" s="11" t="str">
        <f>"000053"</f>
        <v>000053</v>
      </c>
      <c r="Q44" s="10">
        <v>43069</v>
      </c>
      <c r="R44" s="11">
        <v>17</v>
      </c>
      <c r="S44" s="11" t="str">
        <f>"007138"</f>
        <v>007138</v>
      </c>
      <c r="T44" s="10">
        <v>43403</v>
      </c>
      <c r="U44" s="14">
        <v>14.47504</v>
      </c>
      <c r="V44" s="14">
        <v>1.3066</v>
      </c>
      <c r="W44" s="14">
        <v>13.16844</v>
      </c>
      <c r="X44" s="11">
        <v>261</v>
      </c>
      <c r="Y44" s="10">
        <v>43418</v>
      </c>
      <c r="Z44" s="11">
        <v>9980406048</v>
      </c>
      <c r="AA44" s="12" t="s">
        <v>41</v>
      </c>
      <c r="AB44" s="11" t="s">
        <v>160</v>
      </c>
      <c r="AC44" s="12" t="s">
        <v>161</v>
      </c>
      <c r="AD44" s="11" t="s">
        <v>44</v>
      </c>
      <c r="AE44" s="12" t="s">
        <v>45</v>
      </c>
      <c r="AF44" s="14">
        <f t="shared" si="0"/>
        <v>0.1447504</v>
      </c>
      <c r="AG44" s="11" t="s">
        <v>46</v>
      </c>
    </row>
    <row r="45" spans="1:33" x14ac:dyDescent="0.2">
      <c r="A45" s="8">
        <v>7473</v>
      </c>
      <c r="B45" s="9" t="s">
        <v>183</v>
      </c>
      <c r="C45" s="10">
        <v>43437</v>
      </c>
      <c r="D45" s="11">
        <v>31</v>
      </c>
      <c r="E45" s="12" t="s">
        <v>34</v>
      </c>
      <c r="F45" s="12" t="s">
        <v>35</v>
      </c>
      <c r="G45" s="12" t="s">
        <v>36</v>
      </c>
      <c r="H45" s="12" t="s">
        <v>37</v>
      </c>
      <c r="I45" s="11" t="s">
        <v>184</v>
      </c>
      <c r="J45" s="12" t="s">
        <v>185</v>
      </c>
      <c r="K45" s="13" t="s">
        <v>66</v>
      </c>
      <c r="L45" s="11" t="str">
        <f>"000263"</f>
        <v>000263</v>
      </c>
      <c r="M45" s="10">
        <v>42825</v>
      </c>
      <c r="N45" s="11" t="str">
        <f>"000051"</f>
        <v>000051</v>
      </c>
      <c r="O45" s="10">
        <v>42880</v>
      </c>
      <c r="P45" s="11" t="str">
        <f>"000076"</f>
        <v>000076</v>
      </c>
      <c r="Q45" s="10">
        <v>42886</v>
      </c>
      <c r="R45" s="11">
        <v>17</v>
      </c>
      <c r="S45" s="11" t="str">
        <f>"007443"</f>
        <v>007443</v>
      </c>
      <c r="T45" s="10">
        <v>43421</v>
      </c>
      <c r="U45" s="14">
        <v>8.3001199999999997</v>
      </c>
      <c r="V45" s="14">
        <v>0.64678000000000002</v>
      </c>
      <c r="W45" s="14">
        <v>7.65334</v>
      </c>
      <c r="X45" s="11">
        <v>279</v>
      </c>
      <c r="Y45" s="10">
        <v>43437</v>
      </c>
      <c r="Z45" s="11">
        <v>9845028772</v>
      </c>
      <c r="AA45" s="12" t="s">
        <v>186</v>
      </c>
      <c r="AB45" s="11" t="s">
        <v>51</v>
      </c>
      <c r="AC45" s="12" t="s">
        <v>52</v>
      </c>
      <c r="AD45" s="11" t="s">
        <v>44</v>
      </c>
      <c r="AE45" s="12" t="s">
        <v>45</v>
      </c>
      <c r="AF45" s="14">
        <f t="shared" si="0"/>
        <v>8.3001199999999997E-2</v>
      </c>
      <c r="AG45" s="11" t="s">
        <v>46</v>
      </c>
    </row>
    <row r="46" spans="1:33" x14ac:dyDescent="0.2">
      <c r="A46" s="8">
        <v>7969</v>
      </c>
      <c r="B46" s="9" t="s">
        <v>183</v>
      </c>
      <c r="C46" s="10">
        <v>43455</v>
      </c>
      <c r="D46" s="11">
        <v>31</v>
      </c>
      <c r="E46" s="12" t="s">
        <v>34</v>
      </c>
      <c r="F46" s="12" t="s">
        <v>35</v>
      </c>
      <c r="G46" s="12" t="s">
        <v>36</v>
      </c>
      <c r="H46" s="12" t="s">
        <v>37</v>
      </c>
      <c r="I46" s="11" t="s">
        <v>187</v>
      </c>
      <c r="J46" s="12" t="s">
        <v>188</v>
      </c>
      <c r="K46" s="13" t="s">
        <v>40</v>
      </c>
      <c r="L46" s="11" t="str">
        <f>"000080"</f>
        <v>000080</v>
      </c>
      <c r="M46" s="10">
        <v>42524</v>
      </c>
      <c r="N46" s="11" t="str">
        <f>"000050"</f>
        <v>000050</v>
      </c>
      <c r="O46" s="10">
        <v>42886</v>
      </c>
      <c r="P46" s="11" t="str">
        <f>"000071"</f>
        <v>000071</v>
      </c>
      <c r="Q46" s="10">
        <v>42886</v>
      </c>
      <c r="R46" s="11">
        <v>16</v>
      </c>
      <c r="S46" s="11" t="str">
        <f>"007732"</f>
        <v>007732</v>
      </c>
      <c r="T46" s="10">
        <v>43441</v>
      </c>
      <c r="U46" s="14">
        <v>14.18647</v>
      </c>
      <c r="V46" s="14">
        <v>1.9739</v>
      </c>
      <c r="W46" s="14">
        <v>12.212569999999999</v>
      </c>
      <c r="X46" s="11">
        <v>301</v>
      </c>
      <c r="Y46" s="10">
        <v>43455</v>
      </c>
      <c r="Z46" s="11">
        <v>9845028772</v>
      </c>
      <c r="AA46" s="12" t="s">
        <v>60</v>
      </c>
      <c r="AB46" s="11" t="s">
        <v>105</v>
      </c>
      <c r="AC46" s="12" t="s">
        <v>106</v>
      </c>
      <c r="AD46" s="11" t="s">
        <v>44</v>
      </c>
      <c r="AE46" s="12" t="s">
        <v>45</v>
      </c>
      <c r="AF46" s="14">
        <f t="shared" si="0"/>
        <v>0.14186470000000001</v>
      </c>
      <c r="AG46" s="11" t="s">
        <v>46</v>
      </c>
    </row>
    <row r="47" spans="1:33" x14ac:dyDescent="0.2">
      <c r="A47" s="8">
        <v>7970</v>
      </c>
      <c r="B47" s="9" t="s">
        <v>183</v>
      </c>
      <c r="C47" s="10">
        <v>43455</v>
      </c>
      <c r="D47" s="11">
        <v>31</v>
      </c>
      <c r="E47" s="12" t="s">
        <v>34</v>
      </c>
      <c r="F47" s="12" t="s">
        <v>35</v>
      </c>
      <c r="G47" s="12" t="s">
        <v>36</v>
      </c>
      <c r="H47" s="12" t="s">
        <v>37</v>
      </c>
      <c r="I47" s="11" t="s">
        <v>189</v>
      </c>
      <c r="J47" s="12" t="s">
        <v>190</v>
      </c>
      <c r="K47" s="13" t="s">
        <v>40</v>
      </c>
      <c r="L47" s="11" t="str">
        <f>"000079"</f>
        <v>000079</v>
      </c>
      <c r="M47" s="10">
        <v>42524</v>
      </c>
      <c r="N47" s="11" t="str">
        <f>"000048"</f>
        <v>000048</v>
      </c>
      <c r="O47" s="10">
        <v>42886</v>
      </c>
      <c r="P47" s="11" t="str">
        <f>"000078"</f>
        <v>000078</v>
      </c>
      <c r="Q47" s="10">
        <v>42886</v>
      </c>
      <c r="R47" s="11">
        <v>16</v>
      </c>
      <c r="S47" s="11" t="str">
        <f>"007733"</f>
        <v>007733</v>
      </c>
      <c r="T47" s="10">
        <v>43441</v>
      </c>
      <c r="U47" s="14">
        <v>9.6532</v>
      </c>
      <c r="V47" s="14">
        <v>1.34395</v>
      </c>
      <c r="W47" s="14">
        <v>8.3092500000000005</v>
      </c>
      <c r="X47" s="11">
        <v>301</v>
      </c>
      <c r="Y47" s="10">
        <v>43455</v>
      </c>
      <c r="Z47" s="11">
        <v>9845028772</v>
      </c>
      <c r="AA47" s="12" t="s">
        <v>60</v>
      </c>
      <c r="AB47" s="11" t="s">
        <v>76</v>
      </c>
      <c r="AC47" s="12" t="s">
        <v>77</v>
      </c>
      <c r="AD47" s="11" t="s">
        <v>44</v>
      </c>
      <c r="AE47" s="12" t="s">
        <v>45</v>
      </c>
      <c r="AF47" s="14">
        <f t="shared" si="0"/>
        <v>9.6532000000000007E-2</v>
      </c>
      <c r="AG47" s="11" t="s">
        <v>46</v>
      </c>
    </row>
    <row r="48" spans="1:33" x14ac:dyDescent="0.2">
      <c r="A48" s="8">
        <v>7971</v>
      </c>
      <c r="B48" s="9" t="s">
        <v>183</v>
      </c>
      <c r="C48" s="10">
        <v>43455</v>
      </c>
      <c r="D48" s="11">
        <v>31</v>
      </c>
      <c r="E48" s="12" t="s">
        <v>34</v>
      </c>
      <c r="F48" s="12" t="s">
        <v>35</v>
      </c>
      <c r="G48" s="12" t="s">
        <v>36</v>
      </c>
      <c r="H48" s="12" t="s">
        <v>37</v>
      </c>
      <c r="I48" s="11" t="s">
        <v>191</v>
      </c>
      <c r="J48" s="12" t="s">
        <v>192</v>
      </c>
      <c r="K48" s="13" t="s">
        <v>40</v>
      </c>
      <c r="L48" s="11" t="str">
        <f>"000268"</f>
        <v>000268</v>
      </c>
      <c r="M48" s="10">
        <v>42825</v>
      </c>
      <c r="N48" s="11" t="str">
        <f>"000053"</f>
        <v>000053</v>
      </c>
      <c r="O48" s="10">
        <v>42886</v>
      </c>
      <c r="P48" s="11" t="str">
        <f>"000079"</f>
        <v>000079</v>
      </c>
      <c r="Q48" s="10">
        <v>42886</v>
      </c>
      <c r="R48" s="11">
        <v>17</v>
      </c>
      <c r="S48" s="11" t="str">
        <f>"008109"</f>
        <v>008109</v>
      </c>
      <c r="T48" s="10">
        <v>43454</v>
      </c>
      <c r="U48" s="14">
        <v>9.05227</v>
      </c>
      <c r="V48" s="14">
        <v>0.69111999999999996</v>
      </c>
      <c r="W48" s="14">
        <v>8.3611500000000003</v>
      </c>
      <c r="X48" s="11">
        <v>301</v>
      </c>
      <c r="Y48" s="10">
        <v>43455</v>
      </c>
      <c r="Z48" s="11">
        <v>9845028772</v>
      </c>
      <c r="AA48" s="12" t="s">
        <v>186</v>
      </c>
      <c r="AB48" s="11" t="s">
        <v>51</v>
      </c>
      <c r="AC48" s="12" t="s">
        <v>52</v>
      </c>
      <c r="AD48" s="11" t="s">
        <v>44</v>
      </c>
      <c r="AE48" s="12" t="s">
        <v>45</v>
      </c>
      <c r="AF48" s="14">
        <f t="shared" si="0"/>
        <v>9.0522699999999998E-2</v>
      </c>
      <c r="AG48" s="11" t="s">
        <v>46</v>
      </c>
    </row>
    <row r="49" spans="1:33" x14ac:dyDescent="0.2">
      <c r="A49" s="8">
        <v>7972</v>
      </c>
      <c r="B49" s="9" t="s">
        <v>183</v>
      </c>
      <c r="C49" s="10">
        <v>43455</v>
      </c>
      <c r="D49" s="11">
        <v>31</v>
      </c>
      <c r="E49" s="12" t="s">
        <v>34</v>
      </c>
      <c r="F49" s="12" t="s">
        <v>35</v>
      </c>
      <c r="G49" s="12" t="s">
        <v>36</v>
      </c>
      <c r="H49" s="12" t="s">
        <v>37</v>
      </c>
      <c r="I49" s="11" t="s">
        <v>193</v>
      </c>
      <c r="J49" s="12" t="s">
        <v>194</v>
      </c>
      <c r="K49" s="13" t="s">
        <v>66</v>
      </c>
      <c r="L49" s="11" t="str">
        <f>"000264"</f>
        <v>000264</v>
      </c>
      <c r="M49" s="10">
        <v>42825</v>
      </c>
      <c r="N49" s="11" t="str">
        <f>"000052"</f>
        <v>000052</v>
      </c>
      <c r="O49" s="10">
        <v>42886</v>
      </c>
      <c r="P49" s="11" t="str">
        <f>"000077"</f>
        <v>000077</v>
      </c>
      <c r="Q49" s="10">
        <v>42886</v>
      </c>
      <c r="R49" s="11">
        <v>17</v>
      </c>
      <c r="S49" s="11" t="str">
        <f>"008111"</f>
        <v>008111</v>
      </c>
      <c r="T49" s="10">
        <v>43454</v>
      </c>
      <c r="U49" s="14">
        <v>8.3180599999999991</v>
      </c>
      <c r="V49" s="14">
        <v>0.55335999999999996</v>
      </c>
      <c r="W49" s="14">
        <v>7.7647000000000004</v>
      </c>
      <c r="X49" s="11">
        <v>301</v>
      </c>
      <c r="Y49" s="10">
        <v>43455</v>
      </c>
      <c r="Z49" s="11">
        <v>9845028772</v>
      </c>
      <c r="AA49" s="12" t="s">
        <v>186</v>
      </c>
      <c r="AB49" s="11" t="s">
        <v>51</v>
      </c>
      <c r="AC49" s="12" t="s">
        <v>52</v>
      </c>
      <c r="AD49" s="11" t="s">
        <v>44</v>
      </c>
      <c r="AE49" s="12" t="s">
        <v>45</v>
      </c>
      <c r="AF49" s="14">
        <f t="shared" si="0"/>
        <v>8.3180599999999993E-2</v>
      </c>
      <c r="AG49" s="11" t="s">
        <v>46</v>
      </c>
    </row>
    <row r="50" spans="1:33" x14ac:dyDescent="0.2">
      <c r="A50" s="8">
        <v>8546</v>
      </c>
      <c r="B50" s="9" t="s">
        <v>195</v>
      </c>
      <c r="C50" s="10">
        <v>43475</v>
      </c>
      <c r="D50" s="11">
        <v>31</v>
      </c>
      <c r="E50" s="12" t="s">
        <v>34</v>
      </c>
      <c r="F50" s="12" t="s">
        <v>35</v>
      </c>
      <c r="G50" s="12" t="s">
        <v>36</v>
      </c>
      <c r="H50" s="12" t="s">
        <v>37</v>
      </c>
      <c r="I50" s="11" t="s">
        <v>196</v>
      </c>
      <c r="J50" s="12" t="s">
        <v>197</v>
      </c>
      <c r="K50" s="13" t="s">
        <v>56</v>
      </c>
      <c r="L50" s="11" t="str">
        <f>"000065"</f>
        <v>000065</v>
      </c>
      <c r="M50" s="10">
        <v>42515</v>
      </c>
      <c r="N50" s="11" t="str">
        <f>"000049"</f>
        <v>000049</v>
      </c>
      <c r="O50" s="10">
        <v>42886</v>
      </c>
      <c r="P50" s="11" t="str">
        <f>"000073"</f>
        <v>000073</v>
      </c>
      <c r="Q50" s="10">
        <v>42886</v>
      </c>
      <c r="R50" s="11"/>
      <c r="S50" s="11" t="str">
        <f>"008197"</f>
        <v>008197</v>
      </c>
      <c r="T50" s="10">
        <v>43455</v>
      </c>
      <c r="U50" s="14">
        <v>9.4079999999999995</v>
      </c>
      <c r="V50" s="14">
        <v>1.3865000000000001</v>
      </c>
      <c r="W50" s="14">
        <v>8.0214999999999996</v>
      </c>
      <c r="X50" s="11">
        <v>321</v>
      </c>
      <c r="Y50" s="10">
        <v>43475</v>
      </c>
      <c r="Z50" s="11">
        <v>9845028772</v>
      </c>
      <c r="AA50" s="12" t="s">
        <v>41</v>
      </c>
      <c r="AB50" s="11" t="s">
        <v>105</v>
      </c>
      <c r="AC50" s="12" t="s">
        <v>106</v>
      </c>
      <c r="AD50" s="11" t="s">
        <v>44</v>
      </c>
      <c r="AE50" s="12" t="s">
        <v>45</v>
      </c>
      <c r="AF50" s="14">
        <f t="shared" si="0"/>
        <v>9.4079999999999997E-2</v>
      </c>
      <c r="AG50" s="11" t="s">
        <v>46</v>
      </c>
    </row>
    <row r="51" spans="1:33" x14ac:dyDescent="0.2">
      <c r="A51" s="8">
        <v>8549</v>
      </c>
      <c r="B51" s="9" t="s">
        <v>195</v>
      </c>
      <c r="C51" s="10">
        <v>43475</v>
      </c>
      <c r="D51" s="11">
        <v>31</v>
      </c>
      <c r="E51" s="12" t="s">
        <v>34</v>
      </c>
      <c r="F51" s="12" t="s">
        <v>35</v>
      </c>
      <c r="G51" s="12" t="s">
        <v>36</v>
      </c>
      <c r="H51" s="12" t="s">
        <v>37</v>
      </c>
      <c r="I51" s="11" t="s">
        <v>198</v>
      </c>
      <c r="J51" s="12" t="s">
        <v>199</v>
      </c>
      <c r="K51" s="13" t="s">
        <v>66</v>
      </c>
      <c r="L51" s="11" t="str">
        <f>"000071"</f>
        <v>000071</v>
      </c>
      <c r="M51" s="10">
        <v>42515</v>
      </c>
      <c r="N51" s="11" t="str">
        <f>"000047"</f>
        <v>000047</v>
      </c>
      <c r="O51" s="10">
        <v>42886</v>
      </c>
      <c r="P51" s="11" t="str">
        <f>"000072"</f>
        <v>000072</v>
      </c>
      <c r="Q51" s="10">
        <v>42886</v>
      </c>
      <c r="R51" s="11"/>
      <c r="S51" s="11" t="str">
        <f>"008205"</f>
        <v>008205</v>
      </c>
      <c r="T51" s="10">
        <v>43455</v>
      </c>
      <c r="U51" s="14">
        <v>13.845499999999999</v>
      </c>
      <c r="V51" s="14">
        <v>1.9193</v>
      </c>
      <c r="W51" s="14">
        <v>11.9262</v>
      </c>
      <c r="X51" s="11">
        <v>321</v>
      </c>
      <c r="Y51" s="10">
        <v>43475</v>
      </c>
      <c r="Z51" s="11">
        <v>9845028772</v>
      </c>
      <c r="AA51" s="12" t="s">
        <v>60</v>
      </c>
      <c r="AB51" s="11" t="s">
        <v>105</v>
      </c>
      <c r="AC51" s="12" t="s">
        <v>106</v>
      </c>
      <c r="AD51" s="11" t="s">
        <v>44</v>
      </c>
      <c r="AE51" s="12" t="s">
        <v>45</v>
      </c>
      <c r="AF51" s="14">
        <f t="shared" si="0"/>
        <v>0.13845499999999999</v>
      </c>
      <c r="AG51" s="11" t="s">
        <v>46</v>
      </c>
    </row>
    <row r="52" spans="1:33" x14ac:dyDescent="0.2">
      <c r="A52" s="8">
        <v>9919</v>
      </c>
      <c r="B52" s="9" t="s">
        <v>200</v>
      </c>
      <c r="C52" s="10">
        <v>43552</v>
      </c>
      <c r="D52" s="11">
        <v>31</v>
      </c>
      <c r="E52" s="12" t="s">
        <v>34</v>
      </c>
      <c r="F52" s="12" t="s">
        <v>35</v>
      </c>
      <c r="G52" s="12" t="s">
        <v>36</v>
      </c>
      <c r="H52" s="12" t="s">
        <v>37</v>
      </c>
      <c r="I52" s="11" t="s">
        <v>201</v>
      </c>
      <c r="J52" s="12" t="s">
        <v>202</v>
      </c>
      <c r="K52" s="13" t="s">
        <v>66</v>
      </c>
      <c r="L52" s="11" t="str">
        <f>"000055"</f>
        <v>000055</v>
      </c>
      <c r="M52" s="10">
        <v>42867</v>
      </c>
      <c r="N52" s="11" t="str">
        <f>"000114"</f>
        <v>000114</v>
      </c>
      <c r="O52" s="10">
        <v>42916</v>
      </c>
      <c r="P52" s="11" t="str">
        <f>"000165"</f>
        <v>000165</v>
      </c>
      <c r="Q52" s="10">
        <v>42916</v>
      </c>
      <c r="R52" s="11"/>
      <c r="S52" s="11" t="str">
        <f>"009925"</f>
        <v>009925</v>
      </c>
      <c r="T52" s="10">
        <v>43549</v>
      </c>
      <c r="U52" s="14">
        <v>6.3814200000000003</v>
      </c>
      <c r="V52" s="14">
        <v>0.39389999999999997</v>
      </c>
      <c r="W52" s="14">
        <v>5.98752</v>
      </c>
      <c r="X52" s="11">
        <v>388</v>
      </c>
      <c r="Y52" s="10">
        <v>43552</v>
      </c>
      <c r="Z52" s="11">
        <v>9035660123</v>
      </c>
      <c r="AA52" s="12" t="s">
        <v>203</v>
      </c>
      <c r="AB52" s="11" t="s">
        <v>51</v>
      </c>
      <c r="AC52" s="12" t="s">
        <v>52</v>
      </c>
      <c r="AD52" s="11" t="s">
        <v>44</v>
      </c>
      <c r="AE52" s="12" t="s">
        <v>45</v>
      </c>
      <c r="AF52" s="14">
        <f t="shared" si="0"/>
        <v>6.3814200000000001E-2</v>
      </c>
      <c r="AG52" s="11" t="s">
        <v>46</v>
      </c>
    </row>
    <row r="53" spans="1:33" x14ac:dyDescent="0.2">
      <c r="A53" s="8">
        <v>9920</v>
      </c>
      <c r="B53" s="9" t="s">
        <v>200</v>
      </c>
      <c r="C53" s="10">
        <v>43552</v>
      </c>
      <c r="D53" s="11">
        <v>31</v>
      </c>
      <c r="E53" s="12" t="s">
        <v>34</v>
      </c>
      <c r="F53" s="12" t="s">
        <v>35</v>
      </c>
      <c r="G53" s="12" t="s">
        <v>36</v>
      </c>
      <c r="H53" s="12" t="s">
        <v>37</v>
      </c>
      <c r="I53" s="11" t="s">
        <v>204</v>
      </c>
      <c r="J53" s="12" t="s">
        <v>205</v>
      </c>
      <c r="K53" s="13" t="s">
        <v>66</v>
      </c>
      <c r="L53" s="11" t="str">
        <f>"00062M"</f>
        <v>00062M</v>
      </c>
      <c r="M53" s="10">
        <v>42898</v>
      </c>
      <c r="N53" s="11" t="str">
        <f>"000113"</f>
        <v>000113</v>
      </c>
      <c r="O53" s="10">
        <v>42916</v>
      </c>
      <c r="P53" s="11" t="str">
        <f>"000166"</f>
        <v>000166</v>
      </c>
      <c r="Q53" s="10">
        <v>42916</v>
      </c>
      <c r="R53" s="11"/>
      <c r="S53" s="11" t="str">
        <f>"009926"</f>
        <v>009926</v>
      </c>
      <c r="T53" s="10">
        <v>43549</v>
      </c>
      <c r="U53" s="14">
        <v>7.8070599999999999</v>
      </c>
      <c r="V53" s="14">
        <v>0.48081000000000002</v>
      </c>
      <c r="W53" s="14">
        <v>7.3262499999999999</v>
      </c>
      <c r="X53" s="11">
        <v>388</v>
      </c>
      <c r="Y53" s="10">
        <v>43552</v>
      </c>
      <c r="Z53" s="11">
        <v>9035660123</v>
      </c>
      <c r="AA53" s="12" t="s">
        <v>203</v>
      </c>
      <c r="AB53" s="11" t="s">
        <v>51</v>
      </c>
      <c r="AC53" s="12" t="s">
        <v>52</v>
      </c>
      <c r="AD53" s="11" t="s">
        <v>44</v>
      </c>
      <c r="AE53" s="12" t="s">
        <v>45</v>
      </c>
      <c r="AF53" s="14">
        <f t="shared" si="0"/>
        <v>7.8070600000000004E-2</v>
      </c>
      <c r="AG53" s="11" t="s">
        <v>46</v>
      </c>
    </row>
    <row r="54" spans="1:33" x14ac:dyDescent="0.2">
      <c r="A54" s="8">
        <v>9924</v>
      </c>
      <c r="B54" s="9" t="s">
        <v>200</v>
      </c>
      <c r="C54" s="10">
        <v>43552</v>
      </c>
      <c r="D54" s="11">
        <v>31</v>
      </c>
      <c r="E54" s="12" t="s">
        <v>34</v>
      </c>
      <c r="F54" s="12" t="s">
        <v>35</v>
      </c>
      <c r="G54" s="12" t="s">
        <v>36</v>
      </c>
      <c r="H54" s="12" t="s">
        <v>37</v>
      </c>
      <c r="I54" s="11" t="s">
        <v>206</v>
      </c>
      <c r="J54" s="12" t="s">
        <v>207</v>
      </c>
      <c r="K54" s="13" t="s">
        <v>66</v>
      </c>
      <c r="L54" s="11" t="str">
        <f>"00063M"</f>
        <v>00063M</v>
      </c>
      <c r="M54" s="10">
        <v>42898</v>
      </c>
      <c r="N54" s="11" t="str">
        <f>"000112"</f>
        <v>000112</v>
      </c>
      <c r="O54" s="10">
        <v>42916</v>
      </c>
      <c r="P54" s="11" t="str">
        <f>"000167"</f>
        <v>000167</v>
      </c>
      <c r="Q54" s="10">
        <v>42916</v>
      </c>
      <c r="R54" s="11"/>
      <c r="S54" s="11" t="str">
        <f>"009930"</f>
        <v>009930</v>
      </c>
      <c r="T54" s="10">
        <v>43549</v>
      </c>
      <c r="U54" s="14">
        <v>7.5560499999999999</v>
      </c>
      <c r="V54" s="14">
        <v>0.46555000000000002</v>
      </c>
      <c r="W54" s="14">
        <v>7.0904999999999996</v>
      </c>
      <c r="X54" s="11">
        <v>388</v>
      </c>
      <c r="Y54" s="10">
        <v>43552</v>
      </c>
      <c r="Z54" s="11">
        <v>9035660123</v>
      </c>
      <c r="AA54" s="12" t="s">
        <v>203</v>
      </c>
      <c r="AB54" s="11" t="s">
        <v>51</v>
      </c>
      <c r="AC54" s="12" t="s">
        <v>52</v>
      </c>
      <c r="AD54" s="11" t="s">
        <v>44</v>
      </c>
      <c r="AE54" s="12" t="s">
        <v>45</v>
      </c>
      <c r="AF54" s="14">
        <f t="shared" si="0"/>
        <v>7.5560500000000003E-2</v>
      </c>
      <c r="AG54" s="11" t="s">
        <v>46</v>
      </c>
    </row>
    <row r="55" spans="1:33" x14ac:dyDescent="0.2">
      <c r="A55" s="8">
        <v>9931</v>
      </c>
      <c r="B55" s="9" t="s">
        <v>200</v>
      </c>
      <c r="C55" s="10">
        <v>43552</v>
      </c>
      <c r="D55" s="11">
        <v>31</v>
      </c>
      <c r="E55" s="12" t="s">
        <v>34</v>
      </c>
      <c r="F55" s="12" t="s">
        <v>35</v>
      </c>
      <c r="G55" s="12" t="s">
        <v>36</v>
      </c>
      <c r="H55" s="12" t="s">
        <v>37</v>
      </c>
      <c r="I55" s="11" t="s">
        <v>208</v>
      </c>
      <c r="J55" s="12" t="s">
        <v>209</v>
      </c>
      <c r="K55" s="13" t="s">
        <v>40</v>
      </c>
      <c r="L55" s="11" t="str">
        <f>"000038"</f>
        <v>000038</v>
      </c>
      <c r="M55" s="10">
        <v>42851</v>
      </c>
      <c r="N55" s="11" t="str">
        <f>"000127"</f>
        <v>000127</v>
      </c>
      <c r="O55" s="10">
        <v>42916</v>
      </c>
      <c r="P55" s="11" t="str">
        <f>"000170"</f>
        <v>000170</v>
      </c>
      <c r="Q55" s="10">
        <v>42916</v>
      </c>
      <c r="R55" s="11"/>
      <c r="S55" s="11" t="str">
        <f>"009937"</f>
        <v>009937</v>
      </c>
      <c r="T55" s="10">
        <v>43549</v>
      </c>
      <c r="U55" s="14">
        <v>4.4342499999999996</v>
      </c>
      <c r="V55" s="14">
        <v>0.34288000000000002</v>
      </c>
      <c r="W55" s="14">
        <v>4.0913700000000004</v>
      </c>
      <c r="X55" s="11">
        <v>388</v>
      </c>
      <c r="Y55" s="10">
        <v>43552</v>
      </c>
      <c r="Z55" s="11">
        <v>9008002363</v>
      </c>
      <c r="AA55" s="12" t="s">
        <v>210</v>
      </c>
      <c r="AB55" s="11" t="s">
        <v>51</v>
      </c>
      <c r="AC55" s="12" t="s">
        <v>52</v>
      </c>
      <c r="AD55" s="11" t="s">
        <v>44</v>
      </c>
      <c r="AE55" s="12" t="s">
        <v>45</v>
      </c>
      <c r="AF55" s="14">
        <f t="shared" si="0"/>
        <v>4.4342499999999993E-2</v>
      </c>
      <c r="AG55" s="11" t="s">
        <v>46</v>
      </c>
    </row>
    <row r="56" spans="1:33" x14ac:dyDescent="0.2">
      <c r="A56" s="8">
        <v>9966</v>
      </c>
      <c r="B56" s="9" t="s">
        <v>200</v>
      </c>
      <c r="C56" s="10">
        <v>43552</v>
      </c>
      <c r="D56" s="11">
        <v>31</v>
      </c>
      <c r="E56" s="12" t="s">
        <v>34</v>
      </c>
      <c r="F56" s="12" t="s">
        <v>35</v>
      </c>
      <c r="G56" s="12" t="s">
        <v>36</v>
      </c>
      <c r="H56" s="12" t="s">
        <v>37</v>
      </c>
      <c r="I56" s="11" t="s">
        <v>211</v>
      </c>
      <c r="J56" s="12" t="s">
        <v>212</v>
      </c>
      <c r="K56" s="13" t="s">
        <v>66</v>
      </c>
      <c r="L56" s="11" t="str">
        <f>"000228"</f>
        <v>000228</v>
      </c>
      <c r="M56" s="10">
        <v>42795</v>
      </c>
      <c r="N56" s="11" t="str">
        <f>"000133"</f>
        <v>000133</v>
      </c>
      <c r="O56" s="10">
        <v>42916</v>
      </c>
      <c r="P56" s="11" t="str">
        <f>"000172"</f>
        <v>000172</v>
      </c>
      <c r="Q56" s="10">
        <v>42916</v>
      </c>
      <c r="R56" s="11"/>
      <c r="S56" s="11" t="str">
        <f>"009989"</f>
        <v>009989</v>
      </c>
      <c r="T56" s="10">
        <v>43551</v>
      </c>
      <c r="U56" s="14">
        <v>9.4109999999999996</v>
      </c>
      <c r="V56" s="14">
        <v>0.74119000000000002</v>
      </c>
      <c r="W56" s="14">
        <v>8.66981</v>
      </c>
      <c r="X56" s="11">
        <v>390</v>
      </c>
      <c r="Y56" s="10">
        <v>43552</v>
      </c>
      <c r="Z56" s="11">
        <v>9341246488</v>
      </c>
      <c r="AA56" s="12" t="s">
        <v>50</v>
      </c>
      <c r="AB56" s="11" t="s">
        <v>51</v>
      </c>
      <c r="AC56" s="12" t="s">
        <v>52</v>
      </c>
      <c r="AD56" s="11" t="s">
        <v>44</v>
      </c>
      <c r="AE56" s="12" t="s">
        <v>45</v>
      </c>
      <c r="AF56" s="14">
        <f t="shared" si="0"/>
        <v>9.4109999999999999E-2</v>
      </c>
      <c r="AG56" s="11" t="s">
        <v>46</v>
      </c>
    </row>
    <row r="57" spans="1:33" x14ac:dyDescent="0.2">
      <c r="A57" s="8">
        <v>10032</v>
      </c>
      <c r="B57" s="9" t="s">
        <v>200</v>
      </c>
      <c r="C57" s="10">
        <v>43552</v>
      </c>
      <c r="D57" s="11">
        <v>31</v>
      </c>
      <c r="E57" s="12" t="s">
        <v>34</v>
      </c>
      <c r="F57" s="12" t="s">
        <v>35</v>
      </c>
      <c r="G57" s="12" t="s">
        <v>36</v>
      </c>
      <c r="H57" s="12" t="s">
        <v>37</v>
      </c>
      <c r="I57" s="11" t="s">
        <v>213</v>
      </c>
      <c r="J57" s="12" t="s">
        <v>214</v>
      </c>
      <c r="K57" s="13" t="s">
        <v>40</v>
      </c>
      <c r="L57" s="11" t="str">
        <f>"000070"</f>
        <v>000070</v>
      </c>
      <c r="M57" s="10">
        <v>42515</v>
      </c>
      <c r="N57" s="11" t="str">
        <f>"000140"</f>
        <v>000140</v>
      </c>
      <c r="O57" s="10">
        <v>42916</v>
      </c>
      <c r="P57" s="11" t="str">
        <f>"000188"</f>
        <v>000188</v>
      </c>
      <c r="Q57" s="10">
        <v>42916</v>
      </c>
      <c r="R57" s="11"/>
      <c r="S57" s="11" t="str">
        <f>"010094"</f>
        <v>010094</v>
      </c>
      <c r="T57" s="10">
        <v>43552</v>
      </c>
      <c r="U57" s="14">
        <v>19.255849999999999</v>
      </c>
      <c r="V57" s="14">
        <v>2.69</v>
      </c>
      <c r="W57" s="14">
        <v>16.565850000000001</v>
      </c>
      <c r="X57" s="11">
        <v>390</v>
      </c>
      <c r="Y57" s="10">
        <v>43552</v>
      </c>
      <c r="Z57" s="11">
        <v>9845028772</v>
      </c>
      <c r="AA57" s="12" t="s">
        <v>41</v>
      </c>
      <c r="AB57" s="11" t="s">
        <v>105</v>
      </c>
      <c r="AC57" s="12" t="s">
        <v>106</v>
      </c>
      <c r="AD57" s="11" t="s">
        <v>44</v>
      </c>
      <c r="AE57" s="12" t="s">
        <v>45</v>
      </c>
      <c r="AF57" s="14">
        <f t="shared" si="0"/>
        <v>0.19255849999999999</v>
      </c>
      <c r="AG57" s="11" t="s">
        <v>46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2019-06-12T11:04:04Z</dcterms:modified>
</cp:coreProperties>
</file>