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9" i="1" l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<sst xmlns="http://schemas.openxmlformats.org/spreadsheetml/2006/main" count="845" uniqueCount="221">
  <si>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</si>
  <si>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</si>
  <si>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</si>
  <si>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</si>
  <si>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</si>
  <si>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</si>
  <si>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</si>
  <si>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</si>
  <si>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</si>
  <si>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</si>
  <si>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</si>
  <si>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</si>
  <si>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</si>
  <si>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</si>
  <si>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</si>
  <si>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</si>
  <si>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</si>
  <si>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</si>
  <si>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</si>
  <si>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</si>
  <si>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</si>
  <si>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</si>
  <si>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</si>
  <si>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</si>
  <si>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</si>
  <si>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</si>
  <si>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</si>
  <si>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</si>
  <si>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</si>
  <si>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</si>
  <si>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</si>
  <si>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</si>
  <si>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</si>
  <si>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</si>
  <si>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Mattikere</t>
  </si>
  <si>
    <t>Malleshwaram</t>
  </si>
  <si>
    <t>West</t>
  </si>
  <si>
    <t>036-16-000009</t>
  </si>
  <si>
    <t>Maintenance of BBMP Office Building at Nethaji nagar in ward no.36</t>
  </si>
  <si>
    <t>Other Ward Works</t>
  </si>
  <si>
    <t>Penchalaiah</t>
  </si>
  <si>
    <t>P1771</t>
  </si>
  <si>
    <t>Zone Works - POW Works</t>
  </si>
  <si>
    <t>ddo208</t>
  </si>
  <si>
    <t xml:space="preserve"> Assistant Executive Engineer Mathikere West Zone</t>
  </si>
  <si>
    <t>Pending</t>
  </si>
  <si>
    <t>036-16-000001</t>
  </si>
  <si>
    <t>Construction of Dry Waste Collection center at Mathikere ward no 36</t>
  </si>
  <si>
    <t>S VENKATESH</t>
  </si>
  <si>
    <t>P2200</t>
  </si>
  <si>
    <t>Works to be taken up under 13th Finance Commission</t>
  </si>
  <si>
    <t>June</t>
  </si>
  <si>
    <t>036-15-000015</t>
  </si>
  <si>
    <t xml:space="preserve">Providing chainlink fencing to BEL road from Gowri Apartment to Storm water drain and Improvements to drain in Sanjeevappa garden in ward no.36 </t>
  </si>
  <si>
    <t>Footpaths &amp; Walkability</t>
  </si>
  <si>
    <t>Dhananjaya B S</t>
  </si>
  <si>
    <t>036-16-000007</t>
  </si>
  <si>
    <t>Improvements to footpath and drain in 3rd cross Deewanarapalya and other adjoining roads in ward no.36</t>
  </si>
  <si>
    <t xml:space="preserve">Dhananjaya B S </t>
  </si>
  <si>
    <t>036-15-000001</t>
  </si>
  <si>
    <t xml:space="preserve">Concreting to Left out small roads in Mathikere Extn., ward no.36 </t>
  </si>
  <si>
    <t>036-16-000011</t>
  </si>
  <si>
    <t xml:space="preserve">Maintenance of Ward (including Debries Removal) in ward no.36 From Ist shift 6.00AM to 2.00PM </t>
  </si>
  <si>
    <t xml:space="preserve">Sri Dileep B K, </t>
  </si>
  <si>
    <t>July</t>
  </si>
  <si>
    <t>036-17-000030</t>
  </si>
  <si>
    <t xml:space="preserve">Providing drinking water works in Ward No 36 in Malleshwaram Division </t>
  </si>
  <si>
    <t>Drinking Water</t>
  </si>
  <si>
    <t xml:space="preserve">Executive Engineer-2 KRIDL BBMP (West) </t>
  </si>
  <si>
    <t>P3110</t>
  </si>
  <si>
    <t>14th Finance Commission Grant Works</t>
  </si>
  <si>
    <t>Current</t>
  </si>
  <si>
    <t>036-16-000008</t>
  </si>
  <si>
    <t>Improvements to footpath and drain in 3rd main and surrounding areas in ward no.36</t>
  </si>
  <si>
    <t>036-14-000014</t>
  </si>
  <si>
    <t xml:space="preserve">Providing and Installing Shudder and cutter in ward no.36 </t>
  </si>
  <si>
    <t xml:space="preserve">V Sreedhara </t>
  </si>
  <si>
    <t>036-17-000021</t>
  </si>
  <si>
    <t>Maintenance of Borewell and Water supply works in Gokula, Deewanarapalya and Adjoining area in ward no.36</t>
  </si>
  <si>
    <t>Water &amp; Sanitary</t>
  </si>
  <si>
    <t xml:space="preserve">Sri Y H Nagendra, </t>
  </si>
  <si>
    <t>036-16-000002</t>
  </si>
  <si>
    <t xml:space="preserve"> Annual Operation And maintenance Of Street Lights at Mathikere in Ward No- 36</t>
  </si>
  <si>
    <t>Manoj Enterprises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</si>
  <si>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</si>
  <si>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</si>
  <si>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</si>
  <si>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</si>
  <si>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036-17-000039</t>
  </si>
  <si>
    <t>Improvement Foot Path and Drain in Main roads and cross roads in Sampangappa Layout and Cm Hally area in Mathikere in Ward No 36</t>
  </si>
  <si>
    <t xml:space="preserve">Sri Venkatachalapathi </t>
  </si>
  <si>
    <t>P3158</t>
  </si>
  <si>
    <t>SIP Infrastructure Project works</t>
  </si>
  <si>
    <t>036-17-000038</t>
  </si>
  <si>
    <t>Improvement Foot Path and Drain in Main roads and cross roads in R K Garden area in Mathikere in Ward No 36</t>
  </si>
  <si>
    <t>036-17-000034</t>
  </si>
  <si>
    <t>Improvement Drain and Footpath in Mathikere MK Extn 7th Main to 9th Main Road in Ward No 36</t>
  </si>
  <si>
    <t>Venkatachalapathy s/o D Munivenkatappa</t>
  </si>
  <si>
    <t>036-17-000035</t>
  </si>
  <si>
    <t>Improvement Drain and Footpath in Mathikere MK Extn 10th Main to 15th Main Road in Ward No 36</t>
  </si>
  <si>
    <t>036-17-000045</t>
  </si>
  <si>
    <t>Improvements to foot drain and cross roads in C, D, E cross in MK Ext in MathikereExtion Ward no.36</t>
  </si>
  <si>
    <t>036-17-000046</t>
  </si>
  <si>
    <t>Improvements to foot path and drain in 2nd and 4th cross, in Mathikere Ward no.36</t>
  </si>
  <si>
    <t>036-17-000044</t>
  </si>
  <si>
    <t>Improvements to foot path and drain in 1st A and B cross surrounding area in Mathikere Extion Ward no.36</t>
  </si>
  <si>
    <t>036-17-000037</t>
  </si>
  <si>
    <t>Improvement Drain and Footpath in Mathikere MK Extn 1st and 2nd Cross Road in Ward No 36</t>
  </si>
  <si>
    <t>036-17-000041</t>
  </si>
  <si>
    <t>Improvement Foot Path and Drain in Main roads and cross roads in R K Garden are in Mathikere in Ward No 36 (Netajinagara)</t>
  </si>
  <si>
    <t>036-17-000047</t>
  </si>
  <si>
    <t>Improvements to foot path and drain in 1st and 2nd main, in Mathikere Ward no.36</t>
  </si>
  <si>
    <t>036-17-000032</t>
  </si>
  <si>
    <t xml:space="preserve"> Asphalting To Main Roads and Cross Roads From 9th Main To 15th Main In Mathikere Ext Ward No.36, Mathikere, </t>
  </si>
  <si>
    <t>Roads &amp; Drivablility</t>
  </si>
  <si>
    <t>Venkatachalapathy</t>
  </si>
  <si>
    <t>036-17-000040</t>
  </si>
  <si>
    <t>Improvement Foot Path and Drain in Main roads and cross roads in R K Garden are in Mathikere in Ward No 36 (Chickmaranahalli area)</t>
  </si>
  <si>
    <t>036-17-000031</t>
  </si>
  <si>
    <t xml:space="preserve"> Asphalting To Main Roads and Cross Roads From 4th Main To 8th Main In Mathikere Ext Ward No.36 Mathikere, </t>
  </si>
  <si>
    <t xml:space="preserve">Venkatachalapathy s/o D Munivenkatappa, </t>
  </si>
  <si>
    <t>036-17-000033</t>
  </si>
  <si>
    <t>Improvement Drain and Footpath in Mathikere MK Extn 4th Main to 6th Main in Ward No 36</t>
  </si>
  <si>
    <t>036-16-000022</t>
  </si>
  <si>
    <t>Asphalting to bad roads in ward no36 mathikere</t>
  </si>
  <si>
    <t>M/s Sai trisha infraengineers pvt ltd</t>
  </si>
  <si>
    <t>P3106</t>
  </si>
  <si>
    <t>Nagarothana Works</t>
  </si>
  <si>
    <t>036-16-000014</t>
  </si>
  <si>
    <t>Providing New Street name boards and Re-naming old boards in ward no.36</t>
  </si>
  <si>
    <t>H K Sajith Kumar</t>
  </si>
  <si>
    <t>August</t>
  </si>
  <si>
    <t>036-14-000012</t>
  </si>
  <si>
    <t xml:space="preserve">Pothole filling in ward no.36 </t>
  </si>
  <si>
    <t xml:space="preserve">M Nagesh </t>
  </si>
  <si>
    <t>314-12-000026</t>
  </si>
  <si>
    <t>Annual Street light maintenance at ward no 36 and 45 Package-W2</t>
  </si>
  <si>
    <t>Maruthi Associates</t>
  </si>
  <si>
    <t>036-13-000052</t>
  </si>
  <si>
    <t>Improvements to drains in Sanjeevappa Garden Opp to Primary School and other roads in ward no 36</t>
  </si>
  <si>
    <t xml:space="preserve">Executive Engineer-2 M/s KRIDL BBMP(West)  </t>
  </si>
  <si>
    <t>P2803</t>
  </si>
  <si>
    <t>Improvements of footpaths, roads and drains in Mathikere</t>
  </si>
  <si>
    <t>036-14-000013</t>
  </si>
  <si>
    <t xml:space="preserve">Providing Rain water harvesting in ward No 36 </t>
  </si>
  <si>
    <t>Rain Water Harvestin</t>
  </si>
  <si>
    <t>V Sreedhara</t>
  </si>
  <si>
    <t>September</t>
  </si>
  <si>
    <t>036-17-000054</t>
  </si>
  <si>
    <t>Engagement of Gangman and Hiring of Tractor Tippers for cleaning and Maintenance of road side drains and other cleaning works in works in ward no 36</t>
  </si>
  <si>
    <t>K M KrishnSwamy</t>
  </si>
  <si>
    <t>Spill Over</t>
  </si>
  <si>
    <t>October</t>
  </si>
  <si>
    <t>036-17-000036</t>
  </si>
  <si>
    <t>Improvement Drain and Footpath in Mathikere MK Extn 3rd and4th Cross Road in Ward No 36</t>
  </si>
  <si>
    <t>036-16-000004</t>
  </si>
  <si>
    <t xml:space="preserve">Emergency works( Repairs to culverts to the areas of Nethajinagar, MSR Nagar, R.K. Garden and surrounding area in ward no.36) </t>
  </si>
  <si>
    <t>KG Prakash</t>
  </si>
  <si>
    <t>036-16-000006</t>
  </si>
  <si>
    <t>Emergency works(Repairs to culverts to the areas of Mathikere Extn., in ward no.36</t>
  </si>
  <si>
    <t>K G Prakash</t>
  </si>
  <si>
    <t>036-17-000048</t>
  </si>
  <si>
    <t xml:space="preserve">Developement of Footpath HMT Road From C.V Raman Road Junction to Mathikere Fly Over in ward no 36 </t>
  </si>
  <si>
    <t>Sri.Venkatachalapathi</t>
  </si>
  <si>
    <t>036-17-000042</t>
  </si>
  <si>
    <t>Improvement Foot Path and Drain in Main roads and cross roads in R K Garden are in Mathikere in Ward No 36 (Near Gowri apartment)</t>
  </si>
  <si>
    <t>036-17-000043</t>
  </si>
  <si>
    <t>Improvements to foot path and drain in Ak colony and surrounding area (4th cross in )road in ward no.36</t>
  </si>
  <si>
    <t>November</t>
  </si>
  <si>
    <t>036-18-000025</t>
  </si>
  <si>
    <t xml:space="preserve">Construction of Compound wall and beautification of around Indira Canteen in Ward No-36 </t>
  </si>
  <si>
    <t>Indira Canteen</t>
  </si>
  <si>
    <t>M/s KRIDL BBMP West</t>
  </si>
  <si>
    <t>December</t>
  </si>
  <si>
    <t>036-17-000027</t>
  </si>
  <si>
    <t>Concreeting to damaged small roads in Ward No 36</t>
  </si>
  <si>
    <t>Nischal K Lakshman</t>
  </si>
  <si>
    <t>036-17-000026</t>
  </si>
  <si>
    <t>Improvements to Drains and culverts in Mathikere 1st C cross and adjoining roads in Ward 36</t>
  </si>
  <si>
    <t>P Arvind</t>
  </si>
  <si>
    <t>036-17-000011</t>
  </si>
  <si>
    <t>Emergency Works in Deevanarapalya and surrounding area in ward 36</t>
  </si>
  <si>
    <t>Jagadeesha L</t>
  </si>
  <si>
    <t>036-17-000025</t>
  </si>
  <si>
    <t>Providing and installing Missing name Boards in Ward 36</t>
  </si>
  <si>
    <t xml:space="preserve">Sri. S Venkatesh, </t>
  </si>
  <si>
    <t>036-17-000014</t>
  </si>
  <si>
    <t>Improvements to Drains and culverts in 8th, 9th and 10th main of Gokul in W- 36</t>
  </si>
  <si>
    <t>D H Shivanna</t>
  </si>
  <si>
    <t>036-17-000008</t>
  </si>
  <si>
    <t>Emergency Works in Nethaji nagar, R K Garden and surrounding area in ward 36</t>
  </si>
  <si>
    <t>036-17-000010</t>
  </si>
  <si>
    <t>Emergency Works in Mathikere Extension and surrounding area in ward 36</t>
  </si>
  <si>
    <t xml:space="preserve">Jagadeesh L </t>
  </si>
  <si>
    <t>036-17-000009</t>
  </si>
  <si>
    <t>Emergency Works in Gokul 2nd stage 2nd phase and surrounding area in ward 36</t>
  </si>
  <si>
    <t>036-12-000002</t>
  </si>
  <si>
    <t>Desilting of Primary drains in Jararama slum and Bel road (1.00 mtrs) in ward No.36</t>
  </si>
  <si>
    <t>Sri. D.G. Krishnappa</t>
  </si>
  <si>
    <t>P0546</t>
  </si>
  <si>
    <t>Desilting of Storm Water Drains</t>
  </si>
  <si>
    <t>036-16-000010</t>
  </si>
  <si>
    <t xml:space="preserve">Maintenance of Ward (including Debries Removal) in ward no.36 From 2nd shift 200PM to 10.00PM </t>
  </si>
  <si>
    <t xml:space="preserve">Sri. V.Sreedhara, </t>
  </si>
  <si>
    <t>March</t>
  </si>
  <si>
    <t>036-17-000028</t>
  </si>
  <si>
    <t>Providing and fixing C.C. Camera in Mathikere Ward No-36.</t>
  </si>
  <si>
    <t>Crime &amp; Safety</t>
  </si>
  <si>
    <t>036-17-000012</t>
  </si>
  <si>
    <t>Maintainance of BBMP Office in Nethaji nagar in Ward 36</t>
  </si>
  <si>
    <t>Sri. Penchalaiah</t>
  </si>
  <si>
    <t>036-17-000053</t>
  </si>
  <si>
    <t>Digging of borwell adn pumping machinery and pipelinenear sampangappa badavane in ward no-36</t>
  </si>
  <si>
    <t>Executive Engineer-2 KRIDL BBMP (West)</t>
  </si>
  <si>
    <t>P1802</t>
  </si>
  <si>
    <t>Water Supply New Areas</t>
  </si>
  <si>
    <t>036-17-000051</t>
  </si>
  <si>
    <t>Digging of borwell adn pumping machinery and pipeline at jayaram slum in ward no-36</t>
  </si>
  <si>
    <t>Executive Engineer -2 KRIDL BBMP (west)</t>
  </si>
  <si>
    <t>036-17-000052</t>
  </si>
  <si>
    <t>Digging of borwell adn pumping machinery and pipeline at Mathikere Extn in ward no-36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</si>
</sst>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workbookViewId="0">
      <pane ySplit="1" topLeftCell="A2" activePane="bottomLeft" state="frozen"/>
      <selection activeCell="H1" sqref="H1"/>
      <selection pane="bottomLeft" activeCell="D7" sqref="D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810</v>
      </c>
      <c r="B2" s="9" t="s">
        <v>33</v>
      </c>
      <c r="C2" s="10">
        <v>43225</v>
      </c>
      <c r="D2" s="11">
        <v>36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"000059"</f>
        <v>000059</v>
      </c>
      <c r="M2" s="10">
        <v>42420</v>
      </c>
      <c r="N2" s="11" t="str">
        <f>"000150"</f>
        <v>000150</v>
      </c>
      <c r="O2" s="10">
        <v>42766</v>
      </c>
      <c r="P2" s="11" t="str">
        <f>"000512"</f>
        <v>000512</v>
      </c>
      <c r="Q2" s="10">
        <v>42766</v>
      </c>
      <c r="R2" s="11">
        <v>16</v>
      </c>
      <c r="S2" s="11" t="str">
        <f>"001016"</f>
        <v>001016</v>
      </c>
      <c r="T2" s="10">
        <v>43223</v>
      </c>
      <c r="U2" s="14">
        <v>4.55145</v>
      </c>
      <c r="V2" s="14">
        <v>0.32335000000000003</v>
      </c>
      <c r="W2" s="14">
        <v>4.2281000000000004</v>
      </c>
      <c r="X2" s="11">
        <v>38</v>
      </c>
      <c r="Y2" s="10">
        <v>43225</v>
      </c>
      <c r="Z2" s="11">
        <v>8022975610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4.5514499999999999E-2</v>
      </c>
      <c r="AG2" s="11" t="s">
        <v>45</v>
      </c>
    </row>
    <row r="3" spans="1:33" x14ac:dyDescent="0.2">
      <c r="A3" s="8">
        <v>811</v>
      </c>
      <c r="B3" s="9" t="s">
        <v>33</v>
      </c>
      <c r="C3" s="10">
        <v>43225</v>
      </c>
      <c r="D3" s="11">
        <v>36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"000047"</f>
        <v>000047</v>
      </c>
      <c r="M3" s="10">
        <v>42510</v>
      </c>
      <c r="N3" s="11" t="str">
        <f>"000153"</f>
        <v>000153</v>
      </c>
      <c r="O3" s="10">
        <v>42766</v>
      </c>
      <c r="P3" s="11" t="str">
        <f>"000513"</f>
        <v>000513</v>
      </c>
      <c r="Q3" s="10">
        <v>42766</v>
      </c>
      <c r="R3" s="11">
        <v>16</v>
      </c>
      <c r="S3" s="11" t="str">
        <f>"001017"</f>
        <v>001017</v>
      </c>
      <c r="T3" s="10">
        <v>43223</v>
      </c>
      <c r="U3" s="14">
        <v>9.6703600000000005</v>
      </c>
      <c r="V3" s="14">
        <v>0.81574000000000002</v>
      </c>
      <c r="W3" s="14">
        <v>8.8546200000000006</v>
      </c>
      <c r="X3" s="11">
        <v>38</v>
      </c>
      <c r="Y3" s="10">
        <v>43225</v>
      </c>
      <c r="Z3" s="11">
        <v>8022975610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9.6703600000000001E-2</v>
      </c>
      <c r="AG3" s="11" t="s">
        <v>45</v>
      </c>
    </row>
    <row r="4" spans="1:33" x14ac:dyDescent="0.2">
      <c r="A4" s="8">
        <v>2238</v>
      </c>
      <c r="B4" s="9" t="s">
        <v>51</v>
      </c>
      <c r="C4" s="10">
        <v>43269</v>
      </c>
      <c r="D4" s="11">
        <v>36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"000061"</f>
        <v>000061</v>
      </c>
      <c r="M4" s="10">
        <v>42012</v>
      </c>
      <c r="N4" s="11" t="str">
        <f>"000122"</f>
        <v>000122</v>
      </c>
      <c r="O4" s="10">
        <v>42618</v>
      </c>
      <c r="P4" s="11" t="str">
        <f>"000367"</f>
        <v>000367</v>
      </c>
      <c r="Q4" s="10">
        <v>42642</v>
      </c>
      <c r="R4" s="11">
        <v>15</v>
      </c>
      <c r="S4" s="11" t="str">
        <f>"002564"</f>
        <v>002564</v>
      </c>
      <c r="T4" s="10">
        <v>43265</v>
      </c>
      <c r="U4" s="14">
        <v>13.50249</v>
      </c>
      <c r="V4" s="14">
        <v>1.0624899999999999</v>
      </c>
      <c r="W4" s="14">
        <v>12.44</v>
      </c>
      <c r="X4" s="11">
        <v>90</v>
      </c>
      <c r="Y4" s="10">
        <v>43269</v>
      </c>
      <c r="Z4" s="11">
        <v>8022975610</v>
      </c>
      <c r="AA4" s="12" t="s">
        <v>55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0.1350249</v>
      </c>
      <c r="AG4" s="11" t="s">
        <v>45</v>
      </c>
    </row>
    <row r="5" spans="1:33" x14ac:dyDescent="0.2">
      <c r="A5" s="8">
        <v>2239</v>
      </c>
      <c r="B5" s="9" t="s">
        <v>51</v>
      </c>
      <c r="C5" s="10">
        <v>43269</v>
      </c>
      <c r="D5" s="11">
        <v>36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54</v>
      </c>
      <c r="L5" s="11" t="str">
        <f>"000040"</f>
        <v>000040</v>
      </c>
      <c r="M5" s="10">
        <v>42399</v>
      </c>
      <c r="N5" s="11" t="str">
        <f>"000130"</f>
        <v>000130</v>
      </c>
      <c r="O5" s="10">
        <v>42632</v>
      </c>
      <c r="P5" s="11" t="str">
        <f>"000370"</f>
        <v>000370</v>
      </c>
      <c r="Q5" s="10">
        <v>42642</v>
      </c>
      <c r="R5" s="11">
        <v>16</v>
      </c>
      <c r="S5" s="11" t="str">
        <f>"002570"</f>
        <v>002570</v>
      </c>
      <c r="T5" s="10">
        <v>43265</v>
      </c>
      <c r="U5" s="14">
        <v>13.493790000000001</v>
      </c>
      <c r="V5" s="14">
        <v>1.04379</v>
      </c>
      <c r="W5" s="14">
        <v>12.45</v>
      </c>
      <c r="X5" s="11">
        <v>90</v>
      </c>
      <c r="Y5" s="10">
        <v>43269</v>
      </c>
      <c r="Z5" s="11">
        <v>8022975610</v>
      </c>
      <c r="AA5" s="12" t="s">
        <v>58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0.1349379</v>
      </c>
      <c r="AG5" s="11" t="s">
        <v>45</v>
      </c>
    </row>
    <row r="6" spans="1:33" x14ac:dyDescent="0.2">
      <c r="A6" s="8">
        <v>2240</v>
      </c>
      <c r="B6" s="9" t="s">
        <v>51</v>
      </c>
      <c r="C6" s="10">
        <v>43269</v>
      </c>
      <c r="D6" s="11">
        <v>36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39</v>
      </c>
      <c r="L6" s="11" t="str">
        <f>"000062"</f>
        <v>000062</v>
      </c>
      <c r="M6" s="10">
        <v>42012</v>
      </c>
      <c r="N6" s="11" t="str">
        <f>"000121"</f>
        <v>000121</v>
      </c>
      <c r="O6" s="10">
        <v>42618</v>
      </c>
      <c r="P6" s="11" t="str">
        <f>"000371"</f>
        <v>000371</v>
      </c>
      <c r="Q6" s="10">
        <v>42642</v>
      </c>
      <c r="R6" s="11">
        <v>15</v>
      </c>
      <c r="S6" s="11" t="str">
        <f>"002571"</f>
        <v>002571</v>
      </c>
      <c r="T6" s="10">
        <v>43265</v>
      </c>
      <c r="U6" s="14">
        <v>16.866510000000002</v>
      </c>
      <c r="V6" s="14">
        <v>1.3165100000000001</v>
      </c>
      <c r="W6" s="14">
        <v>15.55</v>
      </c>
      <c r="X6" s="11">
        <v>90</v>
      </c>
      <c r="Y6" s="10">
        <v>43269</v>
      </c>
      <c r="Z6" s="11">
        <v>8022975610</v>
      </c>
      <c r="AA6" s="12" t="s">
        <v>55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0.16866510000000001</v>
      </c>
      <c r="AG6" s="11" t="s">
        <v>45</v>
      </c>
    </row>
    <row r="7" spans="1:33" x14ac:dyDescent="0.2">
      <c r="A7" s="8">
        <v>2241</v>
      </c>
      <c r="B7" s="9" t="s">
        <v>51</v>
      </c>
      <c r="C7" s="10">
        <v>43269</v>
      </c>
      <c r="D7" s="11">
        <v>36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61</v>
      </c>
      <c r="J7" s="12" t="s">
        <v>62</v>
      </c>
      <c r="K7" s="13" t="s">
        <v>39</v>
      </c>
      <c r="L7" s="11" t="str">
        <f>"000082"</f>
        <v>000082</v>
      </c>
      <c r="M7" s="10">
        <v>42429</v>
      </c>
      <c r="N7" s="11" t="str">
        <f>"000149"</f>
        <v>000149</v>
      </c>
      <c r="O7" s="10">
        <v>42766</v>
      </c>
      <c r="P7" s="11" t="str">
        <f>"000509"</f>
        <v>000509</v>
      </c>
      <c r="Q7" s="10">
        <v>42766</v>
      </c>
      <c r="R7" s="11">
        <v>16</v>
      </c>
      <c r="S7" s="11" t="str">
        <f>"002504"</f>
        <v>002504</v>
      </c>
      <c r="T7" s="10">
        <v>43264</v>
      </c>
      <c r="U7" s="14">
        <v>11.11608</v>
      </c>
      <c r="V7" s="14">
        <v>0.71240000000000003</v>
      </c>
      <c r="W7" s="14">
        <v>10.40368</v>
      </c>
      <c r="X7" s="11">
        <v>91</v>
      </c>
      <c r="Y7" s="10">
        <v>43269</v>
      </c>
      <c r="Z7" s="11">
        <v>8022975610</v>
      </c>
      <c r="AA7" s="12" t="s">
        <v>63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0.1111608</v>
      </c>
      <c r="AG7" s="11" t="s">
        <v>45</v>
      </c>
    </row>
    <row r="8" spans="1:33" x14ac:dyDescent="0.2">
      <c r="A8" s="8">
        <v>3047</v>
      </c>
      <c r="B8" s="9" t="s">
        <v>64</v>
      </c>
      <c r="C8" s="10">
        <v>43287</v>
      </c>
      <c r="D8" s="11">
        <v>36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65</v>
      </c>
      <c r="J8" s="12" t="s">
        <v>66</v>
      </c>
      <c r="K8" s="13" t="s">
        <v>67</v>
      </c>
      <c r="L8" s="11" t="str">
        <f>"000096"</f>
        <v>000096</v>
      </c>
      <c r="M8" s="10">
        <v>43250</v>
      </c>
      <c r="N8" s="11" t="str">
        <f>"000077"</f>
        <v>000077</v>
      </c>
      <c r="O8" s="10">
        <v>43252</v>
      </c>
      <c r="P8" s="11" t="str">
        <f>"000087"</f>
        <v>000087</v>
      </c>
      <c r="Q8" s="10">
        <v>43264</v>
      </c>
      <c r="R8" s="11">
        <v>17</v>
      </c>
      <c r="S8" s="11" t="str">
        <f>"003344"</f>
        <v>003344</v>
      </c>
      <c r="T8" s="10">
        <v>43286</v>
      </c>
      <c r="U8" s="14">
        <v>12.996</v>
      </c>
      <c r="V8" s="14">
        <v>1.2024600000000001</v>
      </c>
      <c r="W8" s="14">
        <v>11.79354</v>
      </c>
      <c r="X8" s="11">
        <v>114</v>
      </c>
      <c r="Y8" s="10">
        <v>43287</v>
      </c>
      <c r="Z8" s="11">
        <v>8022975610</v>
      </c>
      <c r="AA8" s="12" t="s">
        <v>68</v>
      </c>
      <c r="AB8" s="11" t="s">
        <v>69</v>
      </c>
      <c r="AC8" s="12" t="s">
        <v>70</v>
      </c>
      <c r="AD8" s="11" t="s">
        <v>43</v>
      </c>
      <c r="AE8" s="12" t="s">
        <v>44</v>
      </c>
      <c r="AF8" s="14">
        <v>0.12995999999999999</v>
      </c>
      <c r="AG8" s="11" t="s">
        <v>71</v>
      </c>
    </row>
    <row r="9" spans="1:33" x14ac:dyDescent="0.2">
      <c r="A9" s="8">
        <v>3145</v>
      </c>
      <c r="B9" s="9" t="s">
        <v>64</v>
      </c>
      <c r="C9" s="10">
        <v>43290</v>
      </c>
      <c r="D9" s="11">
        <v>36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72</v>
      </c>
      <c r="J9" s="12" t="s">
        <v>73</v>
      </c>
      <c r="K9" s="13" t="s">
        <v>54</v>
      </c>
      <c r="L9" s="11" t="str">
        <f>"000041"</f>
        <v>000041</v>
      </c>
      <c r="M9" s="10">
        <v>42399</v>
      </c>
      <c r="N9" s="11" t="str">
        <f>"000143"</f>
        <v>000143</v>
      </c>
      <c r="O9" s="10">
        <v>42704</v>
      </c>
      <c r="P9" s="11" t="str">
        <f>"000432"</f>
        <v>000432</v>
      </c>
      <c r="Q9" s="10">
        <v>42718</v>
      </c>
      <c r="R9" s="11">
        <v>16</v>
      </c>
      <c r="S9" s="11" t="str">
        <f>"003379"</f>
        <v>003379</v>
      </c>
      <c r="T9" s="10">
        <v>43288</v>
      </c>
      <c r="U9" s="14">
        <v>12.58309</v>
      </c>
      <c r="V9" s="14">
        <v>1.0630900000000001</v>
      </c>
      <c r="W9" s="14">
        <v>11.52</v>
      </c>
      <c r="X9" s="11">
        <v>117</v>
      </c>
      <c r="Y9" s="10">
        <v>43290</v>
      </c>
      <c r="Z9" s="11">
        <v>8022975610</v>
      </c>
      <c r="AA9" s="12" t="s">
        <v>58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0.1258309</v>
      </c>
      <c r="AG9" s="11" t="s">
        <v>45</v>
      </c>
    </row>
    <row r="10" spans="1:33" x14ac:dyDescent="0.2">
      <c r="A10" s="8">
        <v>3276</v>
      </c>
      <c r="B10" s="9" t="s">
        <v>64</v>
      </c>
      <c r="C10" s="10">
        <v>43297</v>
      </c>
      <c r="D10" s="11">
        <v>36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39</v>
      </c>
      <c r="L10" s="11" t="str">
        <f>"000118"</f>
        <v>000118</v>
      </c>
      <c r="M10" s="10">
        <v>41664</v>
      </c>
      <c r="N10" s="11" t="str">
        <f>"000142"</f>
        <v>000142</v>
      </c>
      <c r="O10" s="10">
        <v>42704</v>
      </c>
      <c r="P10" s="11" t="str">
        <f>"000430"</f>
        <v>000430</v>
      </c>
      <c r="Q10" s="10">
        <v>42718</v>
      </c>
      <c r="R10" s="11">
        <v>14</v>
      </c>
      <c r="S10" s="11" t="str">
        <f>"003529"</f>
        <v>003529</v>
      </c>
      <c r="T10" s="10">
        <v>43291</v>
      </c>
      <c r="U10" s="14">
        <v>5.2249999999999996</v>
      </c>
      <c r="V10" s="14">
        <v>0.3901</v>
      </c>
      <c r="W10" s="14">
        <v>4.8349000000000002</v>
      </c>
      <c r="X10" s="11">
        <v>125</v>
      </c>
      <c r="Y10" s="10">
        <v>43297</v>
      </c>
      <c r="Z10" s="11">
        <v>8022975610</v>
      </c>
      <c r="AA10" s="12" t="s">
        <v>76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5.2249999999999998E-2</v>
      </c>
      <c r="AG10" s="11" t="s">
        <v>45</v>
      </c>
    </row>
    <row r="11" spans="1:33" x14ac:dyDescent="0.2">
      <c r="A11" s="8">
        <v>3456</v>
      </c>
      <c r="B11" s="9" t="s">
        <v>64</v>
      </c>
      <c r="C11" s="10">
        <v>43299</v>
      </c>
      <c r="D11" s="11">
        <v>36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77</v>
      </c>
      <c r="J11" s="12" t="s">
        <v>78</v>
      </c>
      <c r="K11" s="13" t="s">
        <v>79</v>
      </c>
      <c r="L11" s="11" t="str">
        <f>"000130"</f>
        <v>000130</v>
      </c>
      <c r="M11" s="10">
        <v>42814</v>
      </c>
      <c r="N11" s="11" t="str">
        <f>"000029"</f>
        <v>000029</v>
      </c>
      <c r="O11" s="10">
        <v>42886</v>
      </c>
      <c r="P11" s="11" t="str">
        <f>"000067"</f>
        <v>000067</v>
      </c>
      <c r="Q11" s="10">
        <v>42886</v>
      </c>
      <c r="R11" s="11">
        <v>17</v>
      </c>
      <c r="S11" s="11" t="str">
        <f>"003798"</f>
        <v>003798</v>
      </c>
      <c r="T11" s="10">
        <v>43294</v>
      </c>
      <c r="U11" s="14">
        <v>4.9400399999999998</v>
      </c>
      <c r="V11" s="14">
        <v>0.317</v>
      </c>
      <c r="W11" s="14">
        <v>4.6230399999999996</v>
      </c>
      <c r="X11" s="11">
        <v>129</v>
      </c>
      <c r="Y11" s="10">
        <v>43299</v>
      </c>
      <c r="Z11" s="11">
        <v>9845135453</v>
      </c>
      <c r="AA11" s="12" t="s">
        <v>80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4.9400399999999997E-2</v>
      </c>
      <c r="AG11" s="11" t="s">
        <v>45</v>
      </c>
    </row>
    <row r="12" spans="1:33" x14ac:dyDescent="0.2">
      <c r="A12" s="8">
        <v>3712</v>
      </c>
      <c r="B12" s="9" t="s">
        <v>64</v>
      </c>
      <c r="C12" s="10">
        <v>43301</v>
      </c>
      <c r="D12" s="11">
        <v>36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81</v>
      </c>
      <c r="J12" s="12" t="s">
        <v>82</v>
      </c>
      <c r="K12" s="13" t="s">
        <v>54</v>
      </c>
      <c r="L12" s="11" t="str">
        <f>"000020"</f>
        <v>000020</v>
      </c>
      <c r="M12" s="10">
        <v>42940</v>
      </c>
      <c r="N12" s="11" t="str">
        <f>"000115"</f>
        <v>000115</v>
      </c>
      <c r="O12" s="10">
        <v>43175</v>
      </c>
      <c r="P12" s="11" t="str">
        <f>"000145"</f>
        <v>000145</v>
      </c>
      <c r="Q12" s="10">
        <v>43175</v>
      </c>
      <c r="R12" s="11">
        <v>16</v>
      </c>
      <c r="S12" s="11" t="str">
        <f>"004044"</f>
        <v>004044</v>
      </c>
      <c r="T12" s="10">
        <v>43301</v>
      </c>
      <c r="U12" s="14">
        <v>12.908289999999999</v>
      </c>
      <c r="V12" s="14">
        <v>0.65832000000000002</v>
      </c>
      <c r="W12" s="14">
        <v>12.249969999999999</v>
      </c>
      <c r="X12" s="11">
        <v>134</v>
      </c>
      <c r="Y12" s="10">
        <v>43301</v>
      </c>
      <c r="Z12" s="11">
        <v>9845008155</v>
      </c>
      <c r="AA12" s="12" t="s">
        <v>83</v>
      </c>
      <c r="AB12" s="11" t="s">
        <v>84</v>
      </c>
      <c r="AC12" s="12" t="s">
        <v>85</v>
      </c>
      <c r="AD12" s="11" t="s">
        <v>86</v>
      </c>
      <c r="AE12" s="12" t="s">
        <v>87</v>
      </c>
      <c r="AF12" s="14">
        <v>0.1290829</v>
      </c>
      <c r="AG12" s="11" t="s">
        <v>45</v>
      </c>
    </row>
    <row r="13" spans="1:33" x14ac:dyDescent="0.2">
      <c r="A13" s="8">
        <v>3812</v>
      </c>
      <c r="B13" s="9" t="s">
        <v>64</v>
      </c>
      <c r="C13" s="10">
        <v>43304</v>
      </c>
      <c r="D13" s="11">
        <v>36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88</v>
      </c>
      <c r="J13" s="12" t="s">
        <v>89</v>
      </c>
      <c r="K13" s="13" t="s">
        <v>54</v>
      </c>
      <c r="L13" s="11" t="str">
        <f>"000061"</f>
        <v>000061</v>
      </c>
      <c r="M13" s="10">
        <v>43231</v>
      </c>
      <c r="N13" s="11" t="str">
        <f>"000019"</f>
        <v>000019</v>
      </c>
      <c r="O13" s="10">
        <v>43243</v>
      </c>
      <c r="P13" s="11" t="str">
        <f>"000055"</f>
        <v>000055</v>
      </c>
      <c r="Q13" s="10">
        <v>43253</v>
      </c>
      <c r="R13" s="11">
        <v>17</v>
      </c>
      <c r="S13" s="11" t="str">
        <f>"004158"</f>
        <v>004158</v>
      </c>
      <c r="T13" s="10">
        <v>43302</v>
      </c>
      <c r="U13" s="14">
        <v>13.95917</v>
      </c>
      <c r="V13" s="14">
        <v>0.80916999999999994</v>
      </c>
      <c r="W13" s="14">
        <v>13.15</v>
      </c>
      <c r="X13" s="11">
        <v>136</v>
      </c>
      <c r="Y13" s="10">
        <v>43304</v>
      </c>
      <c r="Z13" s="11">
        <v>9972204400</v>
      </c>
      <c r="AA13" s="12" t="s">
        <v>90</v>
      </c>
      <c r="AB13" s="11" t="s">
        <v>91</v>
      </c>
      <c r="AC13" s="12" t="s">
        <v>92</v>
      </c>
      <c r="AD13" s="11" t="s">
        <v>43</v>
      </c>
      <c r="AE13" s="12" t="s">
        <v>44</v>
      </c>
      <c r="AF13" s="14">
        <v>0.13959170000000001</v>
      </c>
      <c r="AG13" s="11" t="s">
        <v>71</v>
      </c>
    </row>
    <row r="14" spans="1:33" x14ac:dyDescent="0.2">
      <c r="A14" s="8">
        <v>3813</v>
      </c>
      <c r="B14" s="9" t="s">
        <v>64</v>
      </c>
      <c r="C14" s="10">
        <v>43304</v>
      </c>
      <c r="D14" s="11">
        <v>36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93</v>
      </c>
      <c r="J14" s="12" t="s">
        <v>94</v>
      </c>
      <c r="K14" s="13" t="s">
        <v>54</v>
      </c>
      <c r="L14" s="11" t="str">
        <f>"000059"</f>
        <v>000059</v>
      </c>
      <c r="M14" s="10">
        <v>43230</v>
      </c>
      <c r="N14" s="11" t="str">
        <f>"000018"</f>
        <v>000018</v>
      </c>
      <c r="O14" s="10">
        <v>43243</v>
      </c>
      <c r="P14" s="11" t="str">
        <f>"000063"</f>
        <v>000063</v>
      </c>
      <c r="Q14" s="10">
        <v>43253</v>
      </c>
      <c r="R14" s="11">
        <v>17</v>
      </c>
      <c r="S14" s="11" t="str">
        <f>"004159"</f>
        <v>004159</v>
      </c>
      <c r="T14" s="10">
        <v>43302</v>
      </c>
      <c r="U14" s="14">
        <v>32.609929999999999</v>
      </c>
      <c r="V14" s="14">
        <v>1.8499300000000001</v>
      </c>
      <c r="W14" s="14">
        <v>30.76</v>
      </c>
      <c r="X14" s="11">
        <v>136</v>
      </c>
      <c r="Y14" s="10">
        <v>43304</v>
      </c>
      <c r="Z14" s="11">
        <v>9972204400</v>
      </c>
      <c r="AA14" s="12" t="s">
        <v>90</v>
      </c>
      <c r="AB14" s="11" t="s">
        <v>91</v>
      </c>
      <c r="AC14" s="12" t="s">
        <v>92</v>
      </c>
      <c r="AD14" s="11" t="s">
        <v>43</v>
      </c>
      <c r="AE14" s="12" t="s">
        <v>44</v>
      </c>
      <c r="AF14" s="14">
        <v>0.32609929999999998</v>
      </c>
      <c r="AG14" s="11" t="s">
        <v>71</v>
      </c>
    </row>
    <row r="15" spans="1:33" x14ac:dyDescent="0.2">
      <c r="A15" s="8">
        <v>3814</v>
      </c>
      <c r="B15" s="9" t="s">
        <v>64</v>
      </c>
      <c r="C15" s="10">
        <v>43304</v>
      </c>
      <c r="D15" s="11">
        <v>36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95</v>
      </c>
      <c r="J15" s="12" t="s">
        <v>96</v>
      </c>
      <c r="K15" s="13" t="s">
        <v>54</v>
      </c>
      <c r="L15" s="11" t="str">
        <f>"000056"</f>
        <v>000056</v>
      </c>
      <c r="M15" s="10">
        <v>43230</v>
      </c>
      <c r="N15" s="11" t="str">
        <f>"000014"</f>
        <v>000014</v>
      </c>
      <c r="O15" s="10">
        <v>43243</v>
      </c>
      <c r="P15" s="11" t="str">
        <f>"000050"</f>
        <v>000050</v>
      </c>
      <c r="Q15" s="10">
        <v>43253</v>
      </c>
      <c r="R15" s="11">
        <v>17</v>
      </c>
      <c r="S15" s="11" t="str">
        <f>"004160"</f>
        <v>004160</v>
      </c>
      <c r="T15" s="10">
        <v>43302</v>
      </c>
      <c r="U15" s="14">
        <v>16.444459999999999</v>
      </c>
      <c r="V15" s="14">
        <v>0.89446000000000003</v>
      </c>
      <c r="W15" s="14">
        <v>15.55</v>
      </c>
      <c r="X15" s="11">
        <v>136</v>
      </c>
      <c r="Y15" s="10">
        <v>43304</v>
      </c>
      <c r="Z15" s="11">
        <v>9880133688</v>
      </c>
      <c r="AA15" s="12" t="s">
        <v>97</v>
      </c>
      <c r="AB15" s="11" t="s">
        <v>91</v>
      </c>
      <c r="AC15" s="12" t="s">
        <v>92</v>
      </c>
      <c r="AD15" s="11" t="s">
        <v>43</v>
      </c>
      <c r="AE15" s="12" t="s">
        <v>44</v>
      </c>
      <c r="AF15" s="14">
        <v>0.1644446</v>
      </c>
      <c r="AG15" s="11" t="s">
        <v>71</v>
      </c>
    </row>
    <row r="16" spans="1:33" x14ac:dyDescent="0.2">
      <c r="A16" s="8">
        <v>3815</v>
      </c>
      <c r="B16" s="9" t="s">
        <v>64</v>
      </c>
      <c r="C16" s="10">
        <v>43304</v>
      </c>
      <c r="D16" s="11">
        <v>36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98</v>
      </c>
      <c r="J16" s="12" t="s">
        <v>99</v>
      </c>
      <c r="K16" s="13" t="s">
        <v>54</v>
      </c>
      <c r="L16" s="11" t="str">
        <f>"000060"</f>
        <v>000060</v>
      </c>
      <c r="M16" s="10">
        <v>43230</v>
      </c>
      <c r="N16" s="11" t="str">
        <f>"000015"</f>
        <v>000015</v>
      </c>
      <c r="O16" s="10">
        <v>43243</v>
      </c>
      <c r="P16" s="11" t="str">
        <f>"000049"</f>
        <v>000049</v>
      </c>
      <c r="Q16" s="10">
        <v>43253</v>
      </c>
      <c r="R16" s="11">
        <v>17</v>
      </c>
      <c r="S16" s="11" t="str">
        <f>"004161"</f>
        <v>004161</v>
      </c>
      <c r="T16" s="10">
        <v>43302</v>
      </c>
      <c r="U16" s="14">
        <v>16.480920000000001</v>
      </c>
      <c r="V16" s="14">
        <v>0.94091999999999998</v>
      </c>
      <c r="W16" s="14">
        <v>15.54</v>
      </c>
      <c r="X16" s="11">
        <v>136</v>
      </c>
      <c r="Y16" s="10">
        <v>43304</v>
      </c>
      <c r="Z16" s="11">
        <v>9972204400</v>
      </c>
      <c r="AA16" s="12" t="s">
        <v>90</v>
      </c>
      <c r="AB16" s="11" t="s">
        <v>91</v>
      </c>
      <c r="AC16" s="12" t="s">
        <v>92</v>
      </c>
      <c r="AD16" s="11" t="s">
        <v>43</v>
      </c>
      <c r="AE16" s="12" t="s">
        <v>44</v>
      </c>
      <c r="AF16" s="14">
        <v>0.16480920000000002</v>
      </c>
      <c r="AG16" s="11" t="s">
        <v>71</v>
      </c>
    </row>
    <row r="17" spans="1:33" x14ac:dyDescent="0.2">
      <c r="A17" s="8">
        <v>3816</v>
      </c>
      <c r="B17" s="9" t="s">
        <v>64</v>
      </c>
      <c r="C17" s="10">
        <v>43304</v>
      </c>
      <c r="D17" s="11">
        <v>36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100</v>
      </c>
      <c r="J17" s="12" t="s">
        <v>101</v>
      </c>
      <c r="K17" s="13" t="s">
        <v>54</v>
      </c>
      <c r="L17" s="11" t="str">
        <f>"000069"</f>
        <v>000069</v>
      </c>
      <c r="M17" s="10">
        <v>43231</v>
      </c>
      <c r="N17" s="11" t="str">
        <f>"000022"</f>
        <v>000022</v>
      </c>
      <c r="O17" s="10">
        <v>43243</v>
      </c>
      <c r="P17" s="11" t="str">
        <f>"000053"</f>
        <v>000053</v>
      </c>
      <c r="Q17" s="10">
        <v>43253</v>
      </c>
      <c r="R17" s="11">
        <v>17</v>
      </c>
      <c r="S17" s="11" t="str">
        <f>"004162"</f>
        <v>004162</v>
      </c>
      <c r="T17" s="10">
        <v>43302</v>
      </c>
      <c r="U17" s="14">
        <v>20.44622</v>
      </c>
      <c r="V17" s="14">
        <v>1.16622</v>
      </c>
      <c r="W17" s="14">
        <v>19.28</v>
      </c>
      <c r="X17" s="11">
        <v>136</v>
      </c>
      <c r="Y17" s="10">
        <v>43304</v>
      </c>
      <c r="Z17" s="11">
        <v>9972204400</v>
      </c>
      <c r="AA17" s="12" t="s">
        <v>90</v>
      </c>
      <c r="AB17" s="11" t="s">
        <v>91</v>
      </c>
      <c r="AC17" s="12" t="s">
        <v>92</v>
      </c>
      <c r="AD17" s="11" t="s">
        <v>43</v>
      </c>
      <c r="AE17" s="12" t="s">
        <v>44</v>
      </c>
      <c r="AF17" s="14">
        <v>0.20446220000000001</v>
      </c>
      <c r="AG17" s="11" t="s">
        <v>71</v>
      </c>
    </row>
    <row r="18" spans="1:33" x14ac:dyDescent="0.2">
      <c r="A18" s="8">
        <v>3817</v>
      </c>
      <c r="B18" s="9" t="s">
        <v>64</v>
      </c>
      <c r="C18" s="10">
        <v>43304</v>
      </c>
      <c r="D18" s="11">
        <v>36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102</v>
      </c>
      <c r="J18" s="12" t="s">
        <v>103</v>
      </c>
      <c r="K18" s="13" t="s">
        <v>54</v>
      </c>
      <c r="L18" s="11" t="str">
        <f>"000070"</f>
        <v>000070</v>
      </c>
      <c r="M18" s="10">
        <v>43231</v>
      </c>
      <c r="N18" s="11" t="str">
        <f>"000023"</f>
        <v>000023</v>
      </c>
      <c r="O18" s="10">
        <v>43243</v>
      </c>
      <c r="P18" s="11" t="str">
        <f>"000043"</f>
        <v>000043</v>
      </c>
      <c r="Q18" s="10">
        <v>43252</v>
      </c>
      <c r="R18" s="11">
        <v>17</v>
      </c>
      <c r="S18" s="11" t="str">
        <f>"004163"</f>
        <v>004163</v>
      </c>
      <c r="T18" s="10">
        <v>43302</v>
      </c>
      <c r="U18" s="14">
        <v>10.858930000000001</v>
      </c>
      <c r="V18" s="14">
        <v>0.61892999999999998</v>
      </c>
      <c r="W18" s="14">
        <v>10.24</v>
      </c>
      <c r="X18" s="11">
        <v>136</v>
      </c>
      <c r="Y18" s="10">
        <v>43304</v>
      </c>
      <c r="Z18" s="11">
        <v>9972204400</v>
      </c>
      <c r="AA18" s="12" t="s">
        <v>90</v>
      </c>
      <c r="AB18" s="11" t="s">
        <v>91</v>
      </c>
      <c r="AC18" s="12" t="s">
        <v>92</v>
      </c>
      <c r="AD18" s="11" t="s">
        <v>43</v>
      </c>
      <c r="AE18" s="12" t="s">
        <v>44</v>
      </c>
      <c r="AF18" s="14">
        <v>0.10858930000000001</v>
      </c>
      <c r="AG18" s="11" t="s">
        <v>71</v>
      </c>
    </row>
    <row r="19" spans="1:33" x14ac:dyDescent="0.2">
      <c r="A19" s="8">
        <v>3818</v>
      </c>
      <c r="B19" s="9" t="s">
        <v>64</v>
      </c>
      <c r="C19" s="10">
        <v>43304</v>
      </c>
      <c r="D19" s="11">
        <v>36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104</v>
      </c>
      <c r="J19" s="12" t="s">
        <v>105</v>
      </c>
      <c r="K19" s="13" t="s">
        <v>54</v>
      </c>
      <c r="L19" s="11" t="str">
        <f>"000068"</f>
        <v>000068</v>
      </c>
      <c r="M19" s="10">
        <v>43231</v>
      </c>
      <c r="N19" s="11" t="str">
        <f>"000021"</f>
        <v>000021</v>
      </c>
      <c r="O19" s="10">
        <v>43243</v>
      </c>
      <c r="P19" s="11" t="str">
        <f>"000054"</f>
        <v>000054</v>
      </c>
      <c r="Q19" s="10">
        <v>43253</v>
      </c>
      <c r="R19" s="11">
        <v>17</v>
      </c>
      <c r="S19" s="11" t="str">
        <f>"004164"</f>
        <v>004164</v>
      </c>
      <c r="T19" s="10">
        <v>43302</v>
      </c>
      <c r="U19" s="14">
        <v>20.461189999999998</v>
      </c>
      <c r="V19" s="14">
        <v>1.1611899999999999</v>
      </c>
      <c r="W19" s="14">
        <v>19.3</v>
      </c>
      <c r="X19" s="11">
        <v>136</v>
      </c>
      <c r="Y19" s="10">
        <v>43304</v>
      </c>
      <c r="Z19" s="11">
        <v>9972204400</v>
      </c>
      <c r="AA19" s="12" t="s">
        <v>90</v>
      </c>
      <c r="AB19" s="11" t="s">
        <v>91</v>
      </c>
      <c r="AC19" s="12" t="s">
        <v>92</v>
      </c>
      <c r="AD19" s="11" t="s">
        <v>43</v>
      </c>
      <c r="AE19" s="12" t="s">
        <v>44</v>
      </c>
      <c r="AF19" s="14">
        <v>0.20461189999999999</v>
      </c>
      <c r="AG19" s="11" t="s">
        <v>71</v>
      </c>
    </row>
    <row r="20" spans="1:33" x14ac:dyDescent="0.2">
      <c r="A20" s="8">
        <v>3819</v>
      </c>
      <c r="B20" s="9" t="s">
        <v>64</v>
      </c>
      <c r="C20" s="10">
        <v>43304</v>
      </c>
      <c r="D20" s="11">
        <v>36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106</v>
      </c>
      <c r="J20" s="12" t="s">
        <v>107</v>
      </c>
      <c r="K20" s="13" t="s">
        <v>54</v>
      </c>
      <c r="L20" s="11" t="str">
        <f>"000057"</f>
        <v>000057</v>
      </c>
      <c r="M20" s="10">
        <v>43230</v>
      </c>
      <c r="N20" s="11" t="str">
        <f>"000017"</f>
        <v>000017</v>
      </c>
      <c r="O20" s="10">
        <v>43243</v>
      </c>
      <c r="P20" s="11" t="str">
        <f>"000051"</f>
        <v>000051</v>
      </c>
      <c r="Q20" s="10">
        <v>43253</v>
      </c>
      <c r="R20" s="11">
        <v>17</v>
      </c>
      <c r="S20" s="11" t="str">
        <f>"004165"</f>
        <v>004165</v>
      </c>
      <c r="T20" s="10">
        <v>43302</v>
      </c>
      <c r="U20" s="14">
        <v>16.00956</v>
      </c>
      <c r="V20" s="14">
        <v>0.91956000000000004</v>
      </c>
      <c r="W20" s="14">
        <v>15.09</v>
      </c>
      <c r="X20" s="11">
        <v>136</v>
      </c>
      <c r="Y20" s="10">
        <v>43304</v>
      </c>
      <c r="Z20" s="11">
        <v>9972204400</v>
      </c>
      <c r="AA20" s="12" t="s">
        <v>90</v>
      </c>
      <c r="AB20" s="11" t="s">
        <v>91</v>
      </c>
      <c r="AC20" s="12" t="s">
        <v>92</v>
      </c>
      <c r="AD20" s="11" t="s">
        <v>43</v>
      </c>
      <c r="AE20" s="12" t="s">
        <v>44</v>
      </c>
      <c r="AF20" s="14">
        <v>0.1600956</v>
      </c>
      <c r="AG20" s="11" t="s">
        <v>71</v>
      </c>
    </row>
    <row r="21" spans="1:33" x14ac:dyDescent="0.2">
      <c r="A21" s="8">
        <v>3820</v>
      </c>
      <c r="B21" s="9" t="s">
        <v>64</v>
      </c>
      <c r="C21" s="10">
        <v>43304</v>
      </c>
      <c r="D21" s="11">
        <v>36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108</v>
      </c>
      <c r="J21" s="12" t="s">
        <v>109</v>
      </c>
      <c r="K21" s="13" t="s">
        <v>54</v>
      </c>
      <c r="L21" s="11" t="str">
        <f>"000064"</f>
        <v>000064</v>
      </c>
      <c r="M21" s="10">
        <v>43231</v>
      </c>
      <c r="N21" s="11" t="str">
        <f>"000026"</f>
        <v>000026</v>
      </c>
      <c r="O21" s="10">
        <v>43244</v>
      </c>
      <c r="P21" s="11" t="str">
        <f>"000045"</f>
        <v>000045</v>
      </c>
      <c r="Q21" s="10">
        <v>43252</v>
      </c>
      <c r="R21" s="11">
        <v>17</v>
      </c>
      <c r="S21" s="11" t="str">
        <f>"004170"</f>
        <v>004170</v>
      </c>
      <c r="T21" s="10">
        <v>43302</v>
      </c>
      <c r="U21" s="14">
        <v>13.32076</v>
      </c>
      <c r="V21" s="14">
        <v>0.73075999999999997</v>
      </c>
      <c r="W21" s="14">
        <v>12.59</v>
      </c>
      <c r="X21" s="11">
        <v>136</v>
      </c>
      <c r="Y21" s="10">
        <v>43304</v>
      </c>
      <c r="Z21" s="11">
        <v>9972204400</v>
      </c>
      <c r="AA21" s="12" t="s">
        <v>90</v>
      </c>
      <c r="AB21" s="11" t="s">
        <v>91</v>
      </c>
      <c r="AC21" s="12" t="s">
        <v>92</v>
      </c>
      <c r="AD21" s="11" t="s">
        <v>43</v>
      </c>
      <c r="AE21" s="12" t="s">
        <v>44</v>
      </c>
      <c r="AF21" s="14">
        <v>0.13320760000000001</v>
      </c>
      <c r="AG21" s="11" t="s">
        <v>71</v>
      </c>
    </row>
    <row r="22" spans="1:33" x14ac:dyDescent="0.2">
      <c r="A22" s="8">
        <v>3821</v>
      </c>
      <c r="B22" s="9" t="s">
        <v>64</v>
      </c>
      <c r="C22" s="10">
        <v>43304</v>
      </c>
      <c r="D22" s="11">
        <v>36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110</v>
      </c>
      <c r="J22" s="12" t="s">
        <v>111</v>
      </c>
      <c r="K22" s="13" t="s">
        <v>54</v>
      </c>
      <c r="L22" s="11" t="str">
        <f>"000071"</f>
        <v>000071</v>
      </c>
      <c r="M22" s="10">
        <v>43231</v>
      </c>
      <c r="N22" s="11" t="str">
        <f>"000024"</f>
        <v>000024</v>
      </c>
      <c r="O22" s="10">
        <v>43243</v>
      </c>
      <c r="P22" s="11" t="str">
        <f>"000065"</f>
        <v>000065</v>
      </c>
      <c r="Q22" s="10">
        <v>43253</v>
      </c>
      <c r="R22" s="11">
        <v>17</v>
      </c>
      <c r="S22" s="11" t="str">
        <f>"004171"</f>
        <v>004171</v>
      </c>
      <c r="T22" s="10">
        <v>43302</v>
      </c>
      <c r="U22" s="14">
        <v>20.55996</v>
      </c>
      <c r="V22" s="14">
        <v>1.1599600000000001</v>
      </c>
      <c r="W22" s="14">
        <v>19.399999999999999</v>
      </c>
      <c r="X22" s="11">
        <v>136</v>
      </c>
      <c r="Y22" s="10">
        <v>43304</v>
      </c>
      <c r="Z22" s="11">
        <v>9972204400</v>
      </c>
      <c r="AA22" s="12" t="s">
        <v>90</v>
      </c>
      <c r="AB22" s="11" t="s">
        <v>91</v>
      </c>
      <c r="AC22" s="12" t="s">
        <v>92</v>
      </c>
      <c r="AD22" s="11" t="s">
        <v>43</v>
      </c>
      <c r="AE22" s="12" t="s">
        <v>44</v>
      </c>
      <c r="AF22" s="14">
        <v>0.20559959999999999</v>
      </c>
      <c r="AG22" s="11" t="s">
        <v>71</v>
      </c>
    </row>
    <row r="23" spans="1:33" x14ac:dyDescent="0.2">
      <c r="A23" s="8">
        <v>3822</v>
      </c>
      <c r="B23" s="9" t="s">
        <v>64</v>
      </c>
      <c r="C23" s="10">
        <v>43304</v>
      </c>
      <c r="D23" s="11">
        <v>36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112</v>
      </c>
      <c r="J23" s="12" t="s">
        <v>113</v>
      </c>
      <c r="K23" s="13" t="s">
        <v>114</v>
      </c>
      <c r="L23" s="11" t="str">
        <f>"000041"</f>
        <v>000041</v>
      </c>
      <c r="M23" s="10">
        <v>43230</v>
      </c>
      <c r="N23" s="11" t="str">
        <f>"000012"</f>
        <v>000012</v>
      </c>
      <c r="O23" s="10">
        <v>43242</v>
      </c>
      <c r="P23" s="11" t="str">
        <f>"000047"</f>
        <v>000047</v>
      </c>
      <c r="Q23" s="10">
        <v>43253</v>
      </c>
      <c r="R23" s="11">
        <v>17</v>
      </c>
      <c r="S23" s="11" t="str">
        <f>"004172"</f>
        <v>004172</v>
      </c>
      <c r="T23" s="10">
        <v>43302</v>
      </c>
      <c r="U23" s="14">
        <v>23.880590000000002</v>
      </c>
      <c r="V23" s="14">
        <v>1.38059</v>
      </c>
      <c r="W23" s="14">
        <v>22.5</v>
      </c>
      <c r="X23" s="11">
        <v>136</v>
      </c>
      <c r="Y23" s="10">
        <v>43304</v>
      </c>
      <c r="Z23" s="11">
        <v>9880133688</v>
      </c>
      <c r="AA23" s="12" t="s">
        <v>115</v>
      </c>
      <c r="AB23" s="11" t="s">
        <v>91</v>
      </c>
      <c r="AC23" s="12" t="s">
        <v>92</v>
      </c>
      <c r="AD23" s="11" t="s">
        <v>43</v>
      </c>
      <c r="AE23" s="12" t="s">
        <v>44</v>
      </c>
      <c r="AF23" s="14">
        <v>0.23880590000000002</v>
      </c>
      <c r="AG23" s="11" t="s">
        <v>71</v>
      </c>
    </row>
    <row r="24" spans="1:33" x14ac:dyDescent="0.2">
      <c r="A24" s="8">
        <v>3823</v>
      </c>
      <c r="B24" s="9" t="s">
        <v>64</v>
      </c>
      <c r="C24" s="10">
        <v>43304</v>
      </c>
      <c r="D24" s="11">
        <v>36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116</v>
      </c>
      <c r="J24" s="12" t="s">
        <v>117</v>
      </c>
      <c r="K24" s="13" t="s">
        <v>54</v>
      </c>
      <c r="L24" s="11" t="str">
        <f>"000063"</f>
        <v>000063</v>
      </c>
      <c r="M24" s="10">
        <v>43231</v>
      </c>
      <c r="N24" s="11" t="str">
        <f>"000020"</f>
        <v>000020</v>
      </c>
      <c r="O24" s="10">
        <v>43243</v>
      </c>
      <c r="P24" s="11" t="str">
        <f>"000056"</f>
        <v>000056</v>
      </c>
      <c r="Q24" s="10">
        <v>43253</v>
      </c>
      <c r="R24" s="11">
        <v>17</v>
      </c>
      <c r="S24" s="11" t="str">
        <f>"004173"</f>
        <v>004173</v>
      </c>
      <c r="T24" s="10">
        <v>43302</v>
      </c>
      <c r="U24" s="14">
        <v>24.1858</v>
      </c>
      <c r="V24" s="14">
        <v>1.3857999999999999</v>
      </c>
      <c r="W24" s="14">
        <v>22.8</v>
      </c>
      <c r="X24" s="11">
        <v>136</v>
      </c>
      <c r="Y24" s="10">
        <v>43304</v>
      </c>
      <c r="Z24" s="11">
        <v>9972204400</v>
      </c>
      <c r="AA24" s="12" t="s">
        <v>90</v>
      </c>
      <c r="AB24" s="11" t="s">
        <v>91</v>
      </c>
      <c r="AC24" s="12" t="s">
        <v>92</v>
      </c>
      <c r="AD24" s="11" t="s">
        <v>43</v>
      </c>
      <c r="AE24" s="12" t="s">
        <v>44</v>
      </c>
      <c r="AF24" s="14">
        <v>0.24185800000000002</v>
      </c>
      <c r="AG24" s="11" t="s">
        <v>71</v>
      </c>
    </row>
    <row r="25" spans="1:33" x14ac:dyDescent="0.2">
      <c r="A25" s="8">
        <v>3824</v>
      </c>
      <c r="B25" s="9" t="s">
        <v>64</v>
      </c>
      <c r="C25" s="10">
        <v>43304</v>
      </c>
      <c r="D25" s="11">
        <v>36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118</v>
      </c>
      <c r="J25" s="12" t="s">
        <v>119</v>
      </c>
      <c r="K25" s="13" t="s">
        <v>114</v>
      </c>
      <c r="L25" s="11" t="str">
        <f>"000037"</f>
        <v>000037</v>
      </c>
      <c r="M25" s="10">
        <v>43230</v>
      </c>
      <c r="N25" s="11" t="str">
        <f>"000011"</f>
        <v>000011</v>
      </c>
      <c r="O25" s="10">
        <v>43242</v>
      </c>
      <c r="P25" s="11" t="str">
        <f>"000044"</f>
        <v>000044</v>
      </c>
      <c r="Q25" s="10">
        <v>43252</v>
      </c>
      <c r="R25" s="11">
        <v>17</v>
      </c>
      <c r="S25" s="11" t="str">
        <f>"004174"</f>
        <v>004174</v>
      </c>
      <c r="T25" s="10">
        <v>43302</v>
      </c>
      <c r="U25" s="14">
        <v>27.929279999999999</v>
      </c>
      <c r="V25" s="14">
        <v>1.59928</v>
      </c>
      <c r="W25" s="14">
        <v>26.33</v>
      </c>
      <c r="X25" s="11">
        <v>136</v>
      </c>
      <c r="Y25" s="10">
        <v>43304</v>
      </c>
      <c r="Z25" s="11">
        <v>9880133688</v>
      </c>
      <c r="AA25" s="12" t="s">
        <v>120</v>
      </c>
      <c r="AB25" s="11" t="s">
        <v>91</v>
      </c>
      <c r="AC25" s="12" t="s">
        <v>92</v>
      </c>
      <c r="AD25" s="11" t="s">
        <v>43</v>
      </c>
      <c r="AE25" s="12" t="s">
        <v>44</v>
      </c>
      <c r="AF25" s="14">
        <v>0.27929280000000001</v>
      </c>
      <c r="AG25" s="11" t="s">
        <v>71</v>
      </c>
    </row>
    <row r="26" spans="1:33" x14ac:dyDescent="0.2">
      <c r="A26" s="8">
        <v>3825</v>
      </c>
      <c r="B26" s="9" t="s">
        <v>64</v>
      </c>
      <c r="C26" s="10">
        <v>43304</v>
      </c>
      <c r="D26" s="11">
        <v>36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121</v>
      </c>
      <c r="J26" s="12" t="s">
        <v>122</v>
      </c>
      <c r="K26" s="13" t="s">
        <v>54</v>
      </c>
      <c r="L26" s="11" t="str">
        <f>"000049"</f>
        <v>000049</v>
      </c>
      <c r="M26" s="10">
        <v>43230</v>
      </c>
      <c r="N26" s="11" t="str">
        <f>"000013"</f>
        <v>000013</v>
      </c>
      <c r="O26" s="10">
        <v>43242</v>
      </c>
      <c r="P26" s="11" t="str">
        <f>"000052"</f>
        <v>000052</v>
      </c>
      <c r="Q26" s="10">
        <v>43253</v>
      </c>
      <c r="R26" s="11">
        <v>17</v>
      </c>
      <c r="S26" s="11" t="str">
        <f>"004175"</f>
        <v>004175</v>
      </c>
      <c r="T26" s="10">
        <v>43302</v>
      </c>
      <c r="U26" s="14">
        <v>16.45682</v>
      </c>
      <c r="V26" s="14">
        <v>0.94681999999999999</v>
      </c>
      <c r="W26" s="14">
        <v>15.51</v>
      </c>
      <c r="X26" s="11">
        <v>136</v>
      </c>
      <c r="Y26" s="10">
        <v>43304</v>
      </c>
      <c r="Z26" s="11">
        <v>9972204400</v>
      </c>
      <c r="AA26" s="12" t="s">
        <v>97</v>
      </c>
      <c r="AB26" s="11" t="s">
        <v>91</v>
      </c>
      <c r="AC26" s="12" t="s">
        <v>92</v>
      </c>
      <c r="AD26" s="11" t="s">
        <v>43</v>
      </c>
      <c r="AE26" s="12" t="s">
        <v>44</v>
      </c>
      <c r="AF26" s="14">
        <v>0.1645682</v>
      </c>
      <c r="AG26" s="11" t="s">
        <v>71</v>
      </c>
    </row>
    <row r="27" spans="1:33" x14ac:dyDescent="0.2">
      <c r="A27" s="8">
        <v>3826</v>
      </c>
      <c r="B27" s="9" t="s">
        <v>64</v>
      </c>
      <c r="C27" s="10">
        <v>43304</v>
      </c>
      <c r="D27" s="11">
        <v>36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123</v>
      </c>
      <c r="J27" s="12" t="s">
        <v>124</v>
      </c>
      <c r="K27" s="13" t="s">
        <v>114</v>
      </c>
      <c r="L27" s="11" t="str">
        <f>"000015"</f>
        <v>000015</v>
      </c>
      <c r="M27" s="10">
        <v>42983</v>
      </c>
      <c r="N27" s="11" t="str">
        <f>"000004"</f>
        <v>000004</v>
      </c>
      <c r="O27" s="10">
        <v>42984</v>
      </c>
      <c r="P27" s="11" t="str">
        <f>"000004"</f>
        <v>000004</v>
      </c>
      <c r="Q27" s="10">
        <v>42984</v>
      </c>
      <c r="R27" s="11">
        <v>16</v>
      </c>
      <c r="S27" s="11" t="str">
        <f>"007128"</f>
        <v>007128</v>
      </c>
      <c r="T27" s="10">
        <v>43038</v>
      </c>
      <c r="U27" s="14">
        <v>79.540779999999998</v>
      </c>
      <c r="V27" s="14">
        <v>4.29521</v>
      </c>
      <c r="W27" s="14">
        <v>75.245570000000001</v>
      </c>
      <c r="X27" s="11">
        <v>136</v>
      </c>
      <c r="Y27" s="10">
        <v>43304</v>
      </c>
      <c r="Z27" s="11">
        <v>8022975610</v>
      </c>
      <c r="AA27" s="12" t="s">
        <v>125</v>
      </c>
      <c r="AB27" s="11" t="s">
        <v>126</v>
      </c>
      <c r="AC27" s="12" t="s">
        <v>127</v>
      </c>
      <c r="AD27" s="11" t="s">
        <v>43</v>
      </c>
      <c r="AE27" s="12" t="s">
        <v>44</v>
      </c>
      <c r="AF27" s="14">
        <v>0.7954078</v>
      </c>
      <c r="AG27" s="11" t="s">
        <v>45</v>
      </c>
    </row>
    <row r="28" spans="1:33" x14ac:dyDescent="0.2">
      <c r="A28" s="8">
        <v>3900</v>
      </c>
      <c r="B28" s="9" t="s">
        <v>64</v>
      </c>
      <c r="C28" s="10">
        <v>43305</v>
      </c>
      <c r="D28" s="11">
        <v>36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128</v>
      </c>
      <c r="J28" s="12" t="s">
        <v>129</v>
      </c>
      <c r="K28" s="13" t="s">
        <v>114</v>
      </c>
      <c r="L28" s="11" t="str">
        <f>"000075"</f>
        <v>000075</v>
      </c>
      <c r="M28" s="10">
        <v>42426</v>
      </c>
      <c r="N28" s="11" t="str">
        <f>"000118"</f>
        <v>000118</v>
      </c>
      <c r="O28" s="10">
        <v>42612</v>
      </c>
      <c r="P28" s="11" t="str">
        <f>"000374"</f>
        <v>000374</v>
      </c>
      <c r="Q28" s="10">
        <v>42642</v>
      </c>
      <c r="R28" s="11">
        <v>16</v>
      </c>
      <c r="S28" s="11" t="str">
        <f>"004119"</f>
        <v>004119</v>
      </c>
      <c r="T28" s="10">
        <v>43301</v>
      </c>
      <c r="U28" s="14">
        <v>2.66038</v>
      </c>
      <c r="V28" s="14">
        <v>0.17630000000000001</v>
      </c>
      <c r="W28" s="14">
        <v>2.4840800000000001</v>
      </c>
      <c r="X28" s="11">
        <v>139</v>
      </c>
      <c r="Y28" s="10">
        <v>43305</v>
      </c>
      <c r="Z28" s="11">
        <v>8022975610</v>
      </c>
      <c r="AA28" s="12" t="s">
        <v>130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v>2.66038E-2</v>
      </c>
      <c r="AG28" s="11" t="s">
        <v>45</v>
      </c>
    </row>
    <row r="29" spans="1:33" x14ac:dyDescent="0.2">
      <c r="A29" s="8">
        <v>4269</v>
      </c>
      <c r="B29" s="9" t="s">
        <v>131</v>
      </c>
      <c r="C29" s="10">
        <v>43315</v>
      </c>
      <c r="D29" s="11">
        <v>36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132</v>
      </c>
      <c r="J29" s="12" t="s">
        <v>133</v>
      </c>
      <c r="K29" s="13" t="s">
        <v>114</v>
      </c>
      <c r="L29" s="11" t="str">
        <f>"000037"</f>
        <v>000037</v>
      </c>
      <c r="M29" s="10">
        <v>41839</v>
      </c>
      <c r="N29" s="11" t="str">
        <f>"000197"</f>
        <v>000197</v>
      </c>
      <c r="O29" s="10">
        <v>42814</v>
      </c>
      <c r="P29" s="11" t="str">
        <f>"000533"</f>
        <v>000533</v>
      </c>
      <c r="Q29" s="10">
        <v>42766</v>
      </c>
      <c r="R29" s="11">
        <v>14</v>
      </c>
      <c r="S29" s="11" t="str">
        <f>"004502"</f>
        <v>004502</v>
      </c>
      <c r="T29" s="10">
        <v>43308</v>
      </c>
      <c r="U29" s="14">
        <v>9.3782200000000007</v>
      </c>
      <c r="V29" s="14">
        <v>1.3082199999999999</v>
      </c>
      <c r="W29" s="14">
        <v>8.07</v>
      </c>
      <c r="X29" s="11">
        <v>152</v>
      </c>
      <c r="Y29" s="10">
        <v>43315</v>
      </c>
      <c r="Z29" s="11">
        <v>8022975610</v>
      </c>
      <c r="AA29" s="12" t="s">
        <v>134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v>9.378220000000001E-2</v>
      </c>
      <c r="AG29" s="11" t="s">
        <v>45</v>
      </c>
    </row>
    <row r="30" spans="1:33" x14ac:dyDescent="0.2">
      <c r="A30" s="8">
        <v>4401</v>
      </c>
      <c r="B30" s="9" t="s">
        <v>131</v>
      </c>
      <c r="C30" s="10">
        <v>43318</v>
      </c>
      <c r="D30" s="11">
        <v>36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135</v>
      </c>
      <c r="J30" s="12" t="s">
        <v>136</v>
      </c>
      <c r="K30" s="13" t="s">
        <v>54</v>
      </c>
      <c r="L30" s="11" t="str">
        <f>"000050"</f>
        <v>000050</v>
      </c>
      <c r="M30" s="10">
        <v>41234</v>
      </c>
      <c r="N30" s="11" t="str">
        <f>"000004"</f>
        <v>000004</v>
      </c>
      <c r="O30" s="10">
        <v>42937</v>
      </c>
      <c r="P30" s="11" t="str">
        <f>"000004"</f>
        <v>000004</v>
      </c>
      <c r="Q30" s="10">
        <v>42937</v>
      </c>
      <c r="R30" s="11">
        <v>12</v>
      </c>
      <c r="S30" s="11" t="str">
        <f>"004824"</f>
        <v>004824</v>
      </c>
      <c r="T30" s="10">
        <v>43315</v>
      </c>
      <c r="U30" s="14">
        <v>0.70243</v>
      </c>
      <c r="V30" s="14">
        <v>0.11804000000000001</v>
      </c>
      <c r="W30" s="14">
        <v>0.58438999999999997</v>
      </c>
      <c r="X30" s="11">
        <v>157</v>
      </c>
      <c r="Y30" s="10">
        <v>43318</v>
      </c>
      <c r="Z30" s="11">
        <v>9886979350</v>
      </c>
      <c r="AA30" s="12" t="s">
        <v>137</v>
      </c>
      <c r="AB30" s="11" t="s">
        <v>84</v>
      </c>
      <c r="AC30" s="12" t="s">
        <v>85</v>
      </c>
      <c r="AD30" s="11" t="s">
        <v>86</v>
      </c>
      <c r="AE30" s="12" t="s">
        <v>87</v>
      </c>
      <c r="AF30" s="14">
        <v>7.0242999999999998E-3</v>
      </c>
      <c r="AG30" s="11" t="s">
        <v>45</v>
      </c>
    </row>
    <row r="31" spans="1:33" x14ac:dyDescent="0.2">
      <c r="A31" s="8">
        <v>4402</v>
      </c>
      <c r="B31" s="9" t="s">
        <v>131</v>
      </c>
      <c r="C31" s="10">
        <v>43318</v>
      </c>
      <c r="D31" s="11">
        <v>36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138</v>
      </c>
      <c r="J31" s="12" t="s">
        <v>139</v>
      </c>
      <c r="K31" s="13" t="s">
        <v>54</v>
      </c>
      <c r="L31" s="11" t="str">
        <f>"000349"</f>
        <v>000349</v>
      </c>
      <c r="M31" s="10">
        <v>41325</v>
      </c>
      <c r="N31" s="11" t="str">
        <f>"000179"</f>
        <v>000179</v>
      </c>
      <c r="O31" s="10">
        <v>42780</v>
      </c>
      <c r="P31" s="11" t="str">
        <f>"000613"</f>
        <v>000613</v>
      </c>
      <c r="Q31" s="10">
        <v>42793</v>
      </c>
      <c r="R31" s="11">
        <v>13</v>
      </c>
      <c r="S31" s="11" t="str">
        <f>"004643"</f>
        <v>004643</v>
      </c>
      <c r="T31" s="10">
        <v>43313</v>
      </c>
      <c r="U31" s="14">
        <v>21.772739999999999</v>
      </c>
      <c r="V31" s="14">
        <v>3.2727400000000002</v>
      </c>
      <c r="W31" s="14">
        <v>18.5</v>
      </c>
      <c r="X31" s="11">
        <v>159</v>
      </c>
      <c r="Y31" s="10">
        <v>43318</v>
      </c>
      <c r="Z31" s="11">
        <v>8022975610</v>
      </c>
      <c r="AA31" s="12" t="s">
        <v>140</v>
      </c>
      <c r="AB31" s="11" t="s">
        <v>141</v>
      </c>
      <c r="AC31" s="12" t="s">
        <v>142</v>
      </c>
      <c r="AD31" s="11" t="s">
        <v>43</v>
      </c>
      <c r="AE31" s="12" t="s">
        <v>44</v>
      </c>
      <c r="AF31" s="14">
        <v>0.21772739999999999</v>
      </c>
      <c r="AG31" s="11" t="s">
        <v>45</v>
      </c>
    </row>
    <row r="32" spans="1:33" x14ac:dyDescent="0.2">
      <c r="A32" s="8">
        <v>4753</v>
      </c>
      <c r="B32" s="9" t="s">
        <v>131</v>
      </c>
      <c r="C32" s="10">
        <v>43326</v>
      </c>
      <c r="D32" s="11">
        <v>36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143</v>
      </c>
      <c r="J32" s="12" t="s">
        <v>144</v>
      </c>
      <c r="K32" s="13" t="s">
        <v>145</v>
      </c>
      <c r="L32" s="11" t="str">
        <f>"000151"</f>
        <v>000151</v>
      </c>
      <c r="M32" s="10">
        <v>41685</v>
      </c>
      <c r="N32" s="11" t="str">
        <f>"000146"</f>
        <v>000146</v>
      </c>
      <c r="O32" s="10">
        <v>42704</v>
      </c>
      <c r="P32" s="11" t="str">
        <f>"000448"</f>
        <v>000448</v>
      </c>
      <c r="Q32" s="10">
        <v>42734</v>
      </c>
      <c r="R32" s="11">
        <v>14</v>
      </c>
      <c r="S32" s="11" t="str">
        <f>"005063"</f>
        <v>005063</v>
      </c>
      <c r="T32" s="10">
        <v>43322</v>
      </c>
      <c r="U32" s="14">
        <v>8.7548899999999996</v>
      </c>
      <c r="V32" s="14">
        <v>1.17089</v>
      </c>
      <c r="W32" s="14">
        <v>7.5839999999999996</v>
      </c>
      <c r="X32" s="11">
        <v>170</v>
      </c>
      <c r="Y32" s="10">
        <v>43326</v>
      </c>
      <c r="Z32" s="11">
        <v>8022975610</v>
      </c>
      <c r="AA32" s="12" t="s">
        <v>146</v>
      </c>
      <c r="AB32" s="11" t="s">
        <v>41</v>
      </c>
      <c r="AC32" s="12" t="s">
        <v>42</v>
      </c>
      <c r="AD32" s="11" t="s">
        <v>43</v>
      </c>
      <c r="AE32" s="12" t="s">
        <v>44</v>
      </c>
      <c r="AF32" s="14">
        <v>8.7548899999999999E-2</v>
      </c>
      <c r="AG32" s="11" t="s">
        <v>45</v>
      </c>
    </row>
    <row r="33" spans="1:33" x14ac:dyDescent="0.2">
      <c r="A33" s="8">
        <v>5621</v>
      </c>
      <c r="B33" s="9" t="s">
        <v>147</v>
      </c>
      <c r="C33" s="10">
        <v>43370</v>
      </c>
      <c r="D33" s="11">
        <v>36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148</v>
      </c>
      <c r="J33" s="12" t="s">
        <v>149</v>
      </c>
      <c r="K33" s="13" t="s">
        <v>54</v>
      </c>
      <c r="L33" s="11" t="str">
        <f>"000132"</f>
        <v>000132</v>
      </c>
      <c r="M33" s="10">
        <v>43110</v>
      </c>
      <c r="N33" s="11" t="str">
        <f>"000113"</f>
        <v>000113</v>
      </c>
      <c r="O33" s="10">
        <v>43332</v>
      </c>
      <c r="P33" s="11" t="str">
        <f>"000148"</f>
        <v>000148</v>
      </c>
      <c r="Q33" s="10">
        <v>43349</v>
      </c>
      <c r="R33" s="11">
        <v>17</v>
      </c>
      <c r="S33" s="11" t="str">
        <f>"006003"</f>
        <v>006003</v>
      </c>
      <c r="T33" s="10">
        <v>43369</v>
      </c>
      <c r="U33" s="14">
        <v>10.898960000000001</v>
      </c>
      <c r="V33" s="14">
        <v>0.47955999999999999</v>
      </c>
      <c r="W33" s="14">
        <v>10.4194</v>
      </c>
      <c r="X33" s="11">
        <v>214</v>
      </c>
      <c r="Y33" s="10">
        <v>43370</v>
      </c>
      <c r="Z33" s="11">
        <v>8971783830</v>
      </c>
      <c r="AA33" s="12" t="s">
        <v>150</v>
      </c>
      <c r="AB33" s="11" t="s">
        <v>69</v>
      </c>
      <c r="AC33" s="12" t="s">
        <v>70</v>
      </c>
      <c r="AD33" s="11" t="s">
        <v>43</v>
      </c>
      <c r="AE33" s="12" t="s">
        <v>44</v>
      </c>
      <c r="AF33" s="14">
        <f t="shared" ref="AF33:AF59" si="0">U33/100</f>
        <v>0.10898960000000001</v>
      </c>
      <c r="AG33" s="11" t="s">
        <v>151</v>
      </c>
    </row>
    <row r="34" spans="1:33" x14ac:dyDescent="0.2">
      <c r="A34" s="8">
        <v>5965</v>
      </c>
      <c r="B34" s="9" t="s">
        <v>152</v>
      </c>
      <c r="C34" s="10">
        <v>43385</v>
      </c>
      <c r="D34" s="11">
        <v>36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153</v>
      </c>
      <c r="J34" s="12" t="s">
        <v>154</v>
      </c>
      <c r="K34" s="13" t="s">
        <v>54</v>
      </c>
      <c r="L34" s="11" t="str">
        <f>"000054"</f>
        <v>000054</v>
      </c>
      <c r="M34" s="10">
        <v>43230</v>
      </c>
      <c r="N34" s="11" t="str">
        <f>"000016"</f>
        <v>000016</v>
      </c>
      <c r="O34" s="10">
        <v>43243</v>
      </c>
      <c r="P34" s="11" t="str">
        <f>"000048"</f>
        <v>000048</v>
      </c>
      <c r="Q34" s="10">
        <v>43253</v>
      </c>
      <c r="R34" s="11">
        <v>17</v>
      </c>
      <c r="S34" s="11" t="str">
        <f>"006221"</f>
        <v>006221</v>
      </c>
      <c r="T34" s="10">
        <v>43379</v>
      </c>
      <c r="U34" s="14">
        <v>16.120699999999999</v>
      </c>
      <c r="V34" s="14">
        <v>0.91069999999999995</v>
      </c>
      <c r="W34" s="14">
        <v>15.21</v>
      </c>
      <c r="X34" s="11">
        <v>228</v>
      </c>
      <c r="Y34" s="10">
        <v>43385</v>
      </c>
      <c r="Z34" s="11">
        <v>9972204400</v>
      </c>
      <c r="AA34" s="12" t="s">
        <v>90</v>
      </c>
      <c r="AB34" s="11" t="s">
        <v>91</v>
      </c>
      <c r="AC34" s="12" t="s">
        <v>92</v>
      </c>
      <c r="AD34" s="11" t="s">
        <v>43</v>
      </c>
      <c r="AE34" s="12" t="s">
        <v>44</v>
      </c>
      <c r="AF34" s="14">
        <f t="shared" si="0"/>
        <v>0.16120699999999999</v>
      </c>
      <c r="AG34" s="11" t="s">
        <v>71</v>
      </c>
    </row>
    <row r="35" spans="1:33" x14ac:dyDescent="0.2">
      <c r="A35" s="8">
        <v>5966</v>
      </c>
      <c r="B35" s="9" t="s">
        <v>152</v>
      </c>
      <c r="C35" s="10">
        <v>43385</v>
      </c>
      <c r="D35" s="11">
        <v>36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153</v>
      </c>
      <c r="J35" s="12" t="s">
        <v>154</v>
      </c>
      <c r="K35" s="13" t="s">
        <v>54</v>
      </c>
      <c r="L35" s="11" t="str">
        <f>"000054"</f>
        <v>000054</v>
      </c>
      <c r="M35" s="10">
        <v>43230</v>
      </c>
      <c r="N35" s="11" t="str">
        <f>"000016"</f>
        <v>000016</v>
      </c>
      <c r="O35" s="10">
        <v>43243</v>
      </c>
      <c r="P35" s="11" t="str">
        <f>"000048"</f>
        <v>000048</v>
      </c>
      <c r="Q35" s="10">
        <v>43253</v>
      </c>
      <c r="R35" s="11">
        <v>17</v>
      </c>
      <c r="S35" s="11" t="str">
        <f>"006221"</f>
        <v>006221</v>
      </c>
      <c r="T35" s="10">
        <v>43379</v>
      </c>
      <c r="U35" s="14">
        <v>16.120699999999999</v>
      </c>
      <c r="V35" s="14">
        <v>0.91069999999999995</v>
      </c>
      <c r="W35" s="14">
        <v>15.21</v>
      </c>
      <c r="X35" s="11">
        <v>228</v>
      </c>
      <c r="Y35" s="10">
        <v>43385</v>
      </c>
      <c r="Z35" s="11">
        <v>9972204400</v>
      </c>
      <c r="AA35" s="12" t="s">
        <v>90</v>
      </c>
      <c r="AB35" s="11" t="s">
        <v>91</v>
      </c>
      <c r="AC35" s="12" t="s">
        <v>92</v>
      </c>
      <c r="AD35" s="11" t="s">
        <v>43</v>
      </c>
      <c r="AE35" s="12" t="s">
        <v>44</v>
      </c>
      <c r="AF35" s="14">
        <f t="shared" si="0"/>
        <v>0.16120699999999999</v>
      </c>
      <c r="AG35" s="11" t="s">
        <v>71</v>
      </c>
    </row>
    <row r="36" spans="1:33" x14ac:dyDescent="0.2">
      <c r="A36" s="8">
        <v>5967</v>
      </c>
      <c r="B36" s="9" t="s">
        <v>152</v>
      </c>
      <c r="C36" s="10">
        <v>43385</v>
      </c>
      <c r="D36" s="11">
        <v>36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155</v>
      </c>
      <c r="J36" s="12" t="s">
        <v>156</v>
      </c>
      <c r="K36" s="13" t="s">
        <v>54</v>
      </c>
      <c r="L36" s="11" t="str">
        <f>"000026"</f>
        <v>000026</v>
      </c>
      <c r="M36" s="10">
        <v>42399</v>
      </c>
      <c r="N36" s="11" t="str">
        <f>"000221"</f>
        <v>000221</v>
      </c>
      <c r="O36" s="10">
        <v>42824</v>
      </c>
      <c r="P36" s="11" t="str">
        <f>"000014"</f>
        <v>000014</v>
      </c>
      <c r="Q36" s="10">
        <v>42853</v>
      </c>
      <c r="R36" s="11">
        <v>16</v>
      </c>
      <c r="S36" s="11" t="str">
        <f>"006005"</f>
        <v>006005</v>
      </c>
      <c r="T36" s="10">
        <v>43374</v>
      </c>
      <c r="U36" s="14">
        <v>4.4709500000000002</v>
      </c>
      <c r="V36" s="14">
        <v>0.39095000000000002</v>
      </c>
      <c r="W36" s="14">
        <v>4.08</v>
      </c>
      <c r="X36" s="11">
        <v>230</v>
      </c>
      <c r="Y36" s="10">
        <v>43385</v>
      </c>
      <c r="Z36" s="11">
        <v>8022975610</v>
      </c>
      <c r="AA36" s="12" t="s">
        <v>157</v>
      </c>
      <c r="AB36" s="11" t="s">
        <v>41</v>
      </c>
      <c r="AC36" s="12" t="s">
        <v>42</v>
      </c>
      <c r="AD36" s="11" t="s">
        <v>43</v>
      </c>
      <c r="AE36" s="12" t="s">
        <v>44</v>
      </c>
      <c r="AF36" s="14">
        <f t="shared" si="0"/>
        <v>4.4709499999999999E-2</v>
      </c>
      <c r="AG36" s="11" t="s">
        <v>45</v>
      </c>
    </row>
    <row r="37" spans="1:33" x14ac:dyDescent="0.2">
      <c r="A37" s="8">
        <v>5968</v>
      </c>
      <c r="B37" s="9" t="s">
        <v>152</v>
      </c>
      <c r="C37" s="10">
        <v>43385</v>
      </c>
      <c r="D37" s="11">
        <v>36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158</v>
      </c>
      <c r="J37" s="12" t="s">
        <v>159</v>
      </c>
      <c r="K37" s="13" t="s">
        <v>54</v>
      </c>
      <c r="L37" s="11" t="str">
        <f>"000025"</f>
        <v>000025</v>
      </c>
      <c r="M37" s="10">
        <v>42399</v>
      </c>
      <c r="N37" s="11" t="str">
        <f>"000220"</f>
        <v>000220</v>
      </c>
      <c r="O37" s="10">
        <v>42824</v>
      </c>
      <c r="P37" s="11" t="str">
        <f>"000015"</f>
        <v>000015</v>
      </c>
      <c r="Q37" s="10">
        <v>42853</v>
      </c>
      <c r="R37" s="11">
        <v>16</v>
      </c>
      <c r="S37" s="11" t="str">
        <f>"006006"</f>
        <v>006006</v>
      </c>
      <c r="T37" s="10">
        <v>43374</v>
      </c>
      <c r="U37" s="14">
        <v>4.4965200000000003</v>
      </c>
      <c r="V37" s="14">
        <v>0.39651999999999998</v>
      </c>
      <c r="W37" s="14">
        <v>4.0999999999999996</v>
      </c>
      <c r="X37" s="11">
        <v>230</v>
      </c>
      <c r="Y37" s="10">
        <v>43385</v>
      </c>
      <c r="Z37" s="11">
        <v>8022975610</v>
      </c>
      <c r="AA37" s="12" t="s">
        <v>160</v>
      </c>
      <c r="AB37" s="11" t="s">
        <v>41</v>
      </c>
      <c r="AC37" s="12" t="s">
        <v>42</v>
      </c>
      <c r="AD37" s="11" t="s">
        <v>43</v>
      </c>
      <c r="AE37" s="12" t="s">
        <v>44</v>
      </c>
      <c r="AF37" s="14">
        <f t="shared" si="0"/>
        <v>4.4965200000000004E-2</v>
      </c>
      <c r="AG37" s="11" t="s">
        <v>45</v>
      </c>
    </row>
    <row r="38" spans="1:33" x14ac:dyDescent="0.2">
      <c r="A38" s="8">
        <v>5969</v>
      </c>
      <c r="B38" s="9" t="s">
        <v>152</v>
      </c>
      <c r="C38" s="10">
        <v>43385</v>
      </c>
      <c r="D38" s="11">
        <v>36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161</v>
      </c>
      <c r="J38" s="12" t="s">
        <v>162</v>
      </c>
      <c r="K38" s="13" t="s">
        <v>54</v>
      </c>
      <c r="L38" s="11" t="str">
        <f>"000091"</f>
        <v>000091</v>
      </c>
      <c r="M38" s="10">
        <v>43250</v>
      </c>
      <c r="N38" s="11" t="str">
        <f>"000126"</f>
        <v>000126</v>
      </c>
      <c r="O38" s="10">
        <v>43384</v>
      </c>
      <c r="P38" s="11" t="str">
        <f>"000175"</f>
        <v>000175</v>
      </c>
      <c r="Q38" s="10">
        <v>43388</v>
      </c>
      <c r="R38" s="11">
        <v>17</v>
      </c>
      <c r="S38" s="11" t="str">
        <f>"007069"</f>
        <v>007069</v>
      </c>
      <c r="T38" s="10">
        <v>43400</v>
      </c>
      <c r="U38" s="14">
        <v>8.2463999999999995</v>
      </c>
      <c r="V38" s="14">
        <v>0.82464000000000004</v>
      </c>
      <c r="W38" s="14">
        <v>7.4217599999999999</v>
      </c>
      <c r="X38" s="11">
        <v>232</v>
      </c>
      <c r="Y38" s="10">
        <v>43385</v>
      </c>
      <c r="Z38" s="11">
        <v>8022975610</v>
      </c>
      <c r="AA38" s="12" t="s">
        <v>163</v>
      </c>
      <c r="AB38" s="11" t="s">
        <v>91</v>
      </c>
      <c r="AC38" s="12" t="s">
        <v>92</v>
      </c>
      <c r="AD38" s="11" t="s">
        <v>43</v>
      </c>
      <c r="AE38" s="12" t="s">
        <v>44</v>
      </c>
      <c r="AF38" s="14">
        <f t="shared" si="0"/>
        <v>8.2463999999999996E-2</v>
      </c>
      <c r="AG38" s="11" t="s">
        <v>71</v>
      </c>
    </row>
    <row r="39" spans="1:33" x14ac:dyDescent="0.2">
      <c r="A39" s="8">
        <v>6913</v>
      </c>
      <c r="B39" s="9" t="s">
        <v>152</v>
      </c>
      <c r="C39" s="10">
        <v>43402</v>
      </c>
      <c r="D39" s="11">
        <v>36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164</v>
      </c>
      <c r="J39" s="12" t="s">
        <v>165</v>
      </c>
      <c r="K39" s="13" t="s">
        <v>54</v>
      </c>
      <c r="L39" s="11" t="str">
        <f>"000065"</f>
        <v>000065</v>
      </c>
      <c r="M39" s="10">
        <v>43231</v>
      </c>
      <c r="N39" s="11" t="str">
        <f>"000129"</f>
        <v>000129</v>
      </c>
      <c r="O39" s="10">
        <v>43384</v>
      </c>
      <c r="P39" s="11" t="str">
        <f>"000174"</f>
        <v>000174</v>
      </c>
      <c r="Q39" s="10">
        <v>43388</v>
      </c>
      <c r="R39" s="11">
        <v>17</v>
      </c>
      <c r="S39" s="11" t="str">
        <f>"007066"</f>
        <v>007066</v>
      </c>
      <c r="T39" s="10">
        <v>43400</v>
      </c>
      <c r="U39" s="14">
        <v>27.929179999999999</v>
      </c>
      <c r="V39" s="14">
        <v>1.58918</v>
      </c>
      <c r="W39" s="14">
        <v>26.34</v>
      </c>
      <c r="X39" s="11">
        <v>252</v>
      </c>
      <c r="Y39" s="10">
        <v>43402</v>
      </c>
      <c r="Z39" s="11">
        <v>9972204400</v>
      </c>
      <c r="AA39" s="12" t="s">
        <v>90</v>
      </c>
      <c r="AB39" s="11" t="s">
        <v>91</v>
      </c>
      <c r="AC39" s="12" t="s">
        <v>92</v>
      </c>
      <c r="AD39" s="11" t="s">
        <v>43</v>
      </c>
      <c r="AE39" s="12" t="s">
        <v>44</v>
      </c>
      <c r="AF39" s="14">
        <f t="shared" si="0"/>
        <v>0.27929179999999998</v>
      </c>
      <c r="AG39" s="11" t="s">
        <v>71</v>
      </c>
    </row>
    <row r="40" spans="1:33" x14ac:dyDescent="0.2">
      <c r="A40" s="8">
        <v>6914</v>
      </c>
      <c r="B40" s="9" t="s">
        <v>152</v>
      </c>
      <c r="C40" s="10">
        <v>43402</v>
      </c>
      <c r="D40" s="11">
        <v>36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161</v>
      </c>
      <c r="J40" s="12" t="s">
        <v>162</v>
      </c>
      <c r="K40" s="13" t="s">
        <v>54</v>
      </c>
      <c r="L40" s="11" t="str">
        <f>"000091"</f>
        <v>000091</v>
      </c>
      <c r="M40" s="10">
        <v>43250</v>
      </c>
      <c r="N40" s="11" t="str">
        <f>"000126"</f>
        <v>000126</v>
      </c>
      <c r="O40" s="10">
        <v>43384</v>
      </c>
      <c r="P40" s="11" t="str">
        <f>"000175"</f>
        <v>000175</v>
      </c>
      <c r="Q40" s="10">
        <v>43388</v>
      </c>
      <c r="R40" s="11">
        <v>17</v>
      </c>
      <c r="S40" s="11" t="str">
        <f>"007069"</f>
        <v>007069</v>
      </c>
      <c r="T40" s="10">
        <v>43400</v>
      </c>
      <c r="U40" s="14">
        <v>56.77684</v>
      </c>
      <c r="V40" s="14">
        <v>3.1868400000000001</v>
      </c>
      <c r="W40" s="14">
        <v>53.59</v>
      </c>
      <c r="X40" s="11">
        <v>252</v>
      </c>
      <c r="Y40" s="10">
        <v>43402</v>
      </c>
      <c r="Z40" s="11">
        <v>8022975610</v>
      </c>
      <c r="AA40" s="12" t="s">
        <v>163</v>
      </c>
      <c r="AB40" s="11" t="s">
        <v>91</v>
      </c>
      <c r="AC40" s="12" t="s">
        <v>92</v>
      </c>
      <c r="AD40" s="11" t="s">
        <v>43</v>
      </c>
      <c r="AE40" s="12" t="s">
        <v>44</v>
      </c>
      <c r="AF40" s="14">
        <f t="shared" si="0"/>
        <v>0.56776839999999995</v>
      </c>
      <c r="AG40" s="11" t="s">
        <v>71</v>
      </c>
    </row>
    <row r="41" spans="1:33" x14ac:dyDescent="0.2">
      <c r="A41" s="8">
        <v>6915</v>
      </c>
      <c r="B41" s="9" t="s">
        <v>152</v>
      </c>
      <c r="C41" s="10">
        <v>43402</v>
      </c>
      <c r="D41" s="11">
        <v>36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88</v>
      </c>
      <c r="J41" s="12" t="s">
        <v>89</v>
      </c>
      <c r="K41" s="13" t="s">
        <v>54</v>
      </c>
      <c r="L41" s="11" t="str">
        <f>"000061"</f>
        <v>000061</v>
      </c>
      <c r="M41" s="10">
        <v>43231</v>
      </c>
      <c r="N41" s="11" t="str">
        <f>"000125"</f>
        <v>000125</v>
      </c>
      <c r="O41" s="10">
        <v>43384</v>
      </c>
      <c r="P41" s="11" t="str">
        <f>"000176"</f>
        <v>000176</v>
      </c>
      <c r="Q41" s="10">
        <v>43388</v>
      </c>
      <c r="R41" s="11">
        <v>17</v>
      </c>
      <c r="S41" s="11" t="str">
        <f>"007072"</f>
        <v>007072</v>
      </c>
      <c r="T41" s="10">
        <v>43400</v>
      </c>
      <c r="U41" s="14">
        <v>13.210979999999999</v>
      </c>
      <c r="V41" s="14">
        <v>0.77098</v>
      </c>
      <c r="W41" s="14">
        <v>12.44</v>
      </c>
      <c r="X41" s="11">
        <v>252</v>
      </c>
      <c r="Y41" s="10">
        <v>43402</v>
      </c>
      <c r="Z41" s="11">
        <v>9972204400</v>
      </c>
      <c r="AA41" s="12" t="s">
        <v>90</v>
      </c>
      <c r="AB41" s="11" t="s">
        <v>91</v>
      </c>
      <c r="AC41" s="12" t="s">
        <v>92</v>
      </c>
      <c r="AD41" s="11" t="s">
        <v>43</v>
      </c>
      <c r="AE41" s="12" t="s">
        <v>44</v>
      </c>
      <c r="AF41" s="14">
        <f t="shared" si="0"/>
        <v>0.1321098</v>
      </c>
      <c r="AG41" s="11" t="s">
        <v>71</v>
      </c>
    </row>
    <row r="42" spans="1:33" x14ac:dyDescent="0.2">
      <c r="A42" s="8">
        <v>6916</v>
      </c>
      <c r="B42" s="9" t="s">
        <v>152</v>
      </c>
      <c r="C42" s="10">
        <v>43402</v>
      </c>
      <c r="D42" s="11">
        <v>36</v>
      </c>
      <c r="E42" s="12" t="s">
        <v>34</v>
      </c>
      <c r="F42" s="12" t="s">
        <v>34</v>
      </c>
      <c r="G42" s="12" t="s">
        <v>35</v>
      </c>
      <c r="H42" s="12" t="s">
        <v>36</v>
      </c>
      <c r="I42" s="11" t="s">
        <v>102</v>
      </c>
      <c r="J42" s="12" t="s">
        <v>103</v>
      </c>
      <c r="K42" s="13" t="s">
        <v>54</v>
      </c>
      <c r="L42" s="11" t="str">
        <f>"000070"</f>
        <v>000070</v>
      </c>
      <c r="M42" s="10">
        <v>43231</v>
      </c>
      <c r="N42" s="11" t="str">
        <f>"000128"</f>
        <v>000128</v>
      </c>
      <c r="O42" s="10">
        <v>43384</v>
      </c>
      <c r="P42" s="11" t="str">
        <f>"000177"</f>
        <v>000177</v>
      </c>
      <c r="Q42" s="10">
        <v>43388</v>
      </c>
      <c r="R42" s="11">
        <v>17</v>
      </c>
      <c r="S42" s="11" t="str">
        <f>"007074"</f>
        <v>007074</v>
      </c>
      <c r="T42" s="10">
        <v>43400</v>
      </c>
      <c r="U42" s="14">
        <v>5.1383799999999997</v>
      </c>
      <c r="V42" s="14">
        <v>0.30837999999999999</v>
      </c>
      <c r="W42" s="14">
        <v>4.83</v>
      </c>
      <c r="X42" s="11">
        <v>252</v>
      </c>
      <c r="Y42" s="10">
        <v>43402</v>
      </c>
      <c r="Z42" s="11">
        <v>9972204400</v>
      </c>
      <c r="AA42" s="12" t="s">
        <v>90</v>
      </c>
      <c r="AB42" s="11" t="s">
        <v>91</v>
      </c>
      <c r="AC42" s="12" t="s">
        <v>92</v>
      </c>
      <c r="AD42" s="11" t="s">
        <v>43</v>
      </c>
      <c r="AE42" s="12" t="s">
        <v>44</v>
      </c>
      <c r="AF42" s="14">
        <f t="shared" si="0"/>
        <v>5.13838E-2</v>
      </c>
      <c r="AG42" s="11" t="s">
        <v>71</v>
      </c>
    </row>
    <row r="43" spans="1:33" x14ac:dyDescent="0.2">
      <c r="A43" s="8">
        <v>6917</v>
      </c>
      <c r="B43" s="9" t="s">
        <v>152</v>
      </c>
      <c r="C43" s="10">
        <v>43402</v>
      </c>
      <c r="D43" s="11">
        <v>36</v>
      </c>
      <c r="E43" s="12" t="s">
        <v>34</v>
      </c>
      <c r="F43" s="12" t="s">
        <v>34</v>
      </c>
      <c r="G43" s="12" t="s">
        <v>35</v>
      </c>
      <c r="H43" s="12" t="s">
        <v>36</v>
      </c>
      <c r="I43" s="11" t="s">
        <v>166</v>
      </c>
      <c r="J43" s="12" t="s">
        <v>167</v>
      </c>
      <c r="K43" s="13" t="s">
        <v>54</v>
      </c>
      <c r="L43" s="11" t="str">
        <f>"000067"</f>
        <v>000067</v>
      </c>
      <c r="M43" s="10">
        <v>43231</v>
      </c>
      <c r="N43" s="11" t="str">
        <f>"000127"</f>
        <v>000127</v>
      </c>
      <c r="O43" s="10">
        <v>43384</v>
      </c>
      <c r="P43" s="11" t="str">
        <f>"000178"</f>
        <v>000178</v>
      </c>
      <c r="Q43" s="10">
        <v>43388</v>
      </c>
      <c r="R43" s="11">
        <v>17</v>
      </c>
      <c r="S43" s="11" t="str">
        <f>"007076"</f>
        <v>007076</v>
      </c>
      <c r="T43" s="10">
        <v>43400</v>
      </c>
      <c r="U43" s="14">
        <v>10.625489999999999</v>
      </c>
      <c r="V43" s="14">
        <v>0.62548999999999999</v>
      </c>
      <c r="W43" s="14">
        <v>10</v>
      </c>
      <c r="X43" s="11">
        <v>252</v>
      </c>
      <c r="Y43" s="10">
        <v>43402</v>
      </c>
      <c r="Z43" s="11">
        <v>9972204400</v>
      </c>
      <c r="AA43" s="12" t="s">
        <v>90</v>
      </c>
      <c r="AB43" s="11" t="s">
        <v>91</v>
      </c>
      <c r="AC43" s="12" t="s">
        <v>92</v>
      </c>
      <c r="AD43" s="11" t="s">
        <v>43</v>
      </c>
      <c r="AE43" s="12" t="s">
        <v>44</v>
      </c>
      <c r="AF43" s="14">
        <f t="shared" si="0"/>
        <v>0.10625489999999999</v>
      </c>
      <c r="AG43" s="11" t="s">
        <v>71</v>
      </c>
    </row>
    <row r="44" spans="1:33" x14ac:dyDescent="0.2">
      <c r="A44" s="8">
        <v>7312</v>
      </c>
      <c r="B44" s="9" t="s">
        <v>168</v>
      </c>
      <c r="C44" s="10">
        <v>43424</v>
      </c>
      <c r="D44" s="11">
        <v>36</v>
      </c>
      <c r="E44" s="12" t="s">
        <v>34</v>
      </c>
      <c r="F44" s="12" t="s">
        <v>34</v>
      </c>
      <c r="G44" s="12" t="s">
        <v>35</v>
      </c>
      <c r="H44" s="12" t="s">
        <v>36</v>
      </c>
      <c r="I44" s="11" t="s">
        <v>169</v>
      </c>
      <c r="J44" s="12" t="s">
        <v>170</v>
      </c>
      <c r="K44" s="13" t="s">
        <v>171</v>
      </c>
      <c r="L44" s="11" t="str">
        <f>"000093"</f>
        <v>000093</v>
      </c>
      <c r="M44" s="10">
        <v>43250</v>
      </c>
      <c r="N44" s="11" t="str">
        <f>"000072"</f>
        <v>000072</v>
      </c>
      <c r="O44" s="10">
        <v>43251</v>
      </c>
      <c r="P44" s="11" t="str">
        <f>"000041"</f>
        <v>000041</v>
      </c>
      <c r="Q44" s="10">
        <v>43251</v>
      </c>
      <c r="R44" s="11">
        <v>18</v>
      </c>
      <c r="S44" s="11" t="str">
        <f>"007391"</f>
        <v>007391</v>
      </c>
      <c r="T44" s="10">
        <v>43421</v>
      </c>
      <c r="U44" s="14">
        <v>9.9705600000000008</v>
      </c>
      <c r="V44" s="14">
        <v>1.17056</v>
      </c>
      <c r="W44" s="14">
        <v>8.8000000000000007</v>
      </c>
      <c r="X44" s="11">
        <v>271</v>
      </c>
      <c r="Y44" s="10">
        <v>43424</v>
      </c>
      <c r="Z44" s="11">
        <v>8022975610</v>
      </c>
      <c r="AA44" s="12" t="s">
        <v>172</v>
      </c>
      <c r="AB44" s="11" t="s">
        <v>126</v>
      </c>
      <c r="AC44" s="12" t="s">
        <v>127</v>
      </c>
      <c r="AD44" s="11" t="s">
        <v>43</v>
      </c>
      <c r="AE44" s="12" t="s">
        <v>44</v>
      </c>
      <c r="AF44" s="14">
        <f t="shared" si="0"/>
        <v>9.9705600000000005E-2</v>
      </c>
      <c r="AG44" s="11" t="s">
        <v>71</v>
      </c>
    </row>
    <row r="45" spans="1:33" x14ac:dyDescent="0.2">
      <c r="A45" s="8">
        <v>7483</v>
      </c>
      <c r="B45" s="9" t="s">
        <v>173</v>
      </c>
      <c r="C45" s="10">
        <v>43437</v>
      </c>
      <c r="D45" s="11">
        <v>36</v>
      </c>
      <c r="E45" s="12" t="s">
        <v>34</v>
      </c>
      <c r="F45" s="12" t="s">
        <v>34</v>
      </c>
      <c r="G45" s="12" t="s">
        <v>35</v>
      </c>
      <c r="H45" s="12" t="s">
        <v>36</v>
      </c>
      <c r="I45" s="11" t="s">
        <v>174</v>
      </c>
      <c r="J45" s="12" t="s">
        <v>175</v>
      </c>
      <c r="K45" s="13" t="s">
        <v>39</v>
      </c>
      <c r="L45" s="11" t="str">
        <f>"000005"</f>
        <v>000005</v>
      </c>
      <c r="M45" s="10">
        <v>42842</v>
      </c>
      <c r="N45" s="11" t="str">
        <f>"000010"</f>
        <v>000010</v>
      </c>
      <c r="O45" s="10">
        <v>42886</v>
      </c>
      <c r="P45" s="11" t="str">
        <f>"000036"</f>
        <v>000036</v>
      </c>
      <c r="Q45" s="10">
        <v>42886</v>
      </c>
      <c r="R45" s="11">
        <v>17</v>
      </c>
      <c r="S45" s="11" t="str">
        <f>"007395"</f>
        <v>007395</v>
      </c>
      <c r="T45" s="10">
        <v>43421</v>
      </c>
      <c r="U45" s="14">
        <v>11.9361</v>
      </c>
      <c r="V45" s="14">
        <v>0.8861</v>
      </c>
      <c r="W45" s="14">
        <v>11.05</v>
      </c>
      <c r="X45" s="11">
        <v>279</v>
      </c>
      <c r="Y45" s="10">
        <v>43437</v>
      </c>
      <c r="Z45" s="11">
        <v>9900015678</v>
      </c>
      <c r="AA45" s="12" t="s">
        <v>176</v>
      </c>
      <c r="AB45" s="11" t="s">
        <v>41</v>
      </c>
      <c r="AC45" s="12" t="s">
        <v>42</v>
      </c>
      <c r="AD45" s="11" t="s">
        <v>43</v>
      </c>
      <c r="AE45" s="12" t="s">
        <v>44</v>
      </c>
      <c r="AF45" s="14">
        <f t="shared" si="0"/>
        <v>0.11936099999999999</v>
      </c>
      <c r="AG45" s="11" t="s">
        <v>45</v>
      </c>
    </row>
    <row r="46" spans="1:33" x14ac:dyDescent="0.2">
      <c r="A46" s="8">
        <v>7484</v>
      </c>
      <c r="B46" s="9" t="s">
        <v>173</v>
      </c>
      <c r="C46" s="10">
        <v>43437</v>
      </c>
      <c r="D46" s="11">
        <v>36</v>
      </c>
      <c r="E46" s="12" t="s">
        <v>34</v>
      </c>
      <c r="F46" s="12" t="s">
        <v>34</v>
      </c>
      <c r="G46" s="12" t="s">
        <v>35</v>
      </c>
      <c r="H46" s="12" t="s">
        <v>36</v>
      </c>
      <c r="I46" s="11" t="s">
        <v>177</v>
      </c>
      <c r="J46" s="12" t="s">
        <v>178</v>
      </c>
      <c r="K46" s="13" t="s">
        <v>54</v>
      </c>
      <c r="L46" s="11" t="str">
        <f>"000011"</f>
        <v>000011</v>
      </c>
      <c r="M46" s="10">
        <v>42842</v>
      </c>
      <c r="N46" s="11" t="str">
        <f>"000013"</f>
        <v>000013</v>
      </c>
      <c r="O46" s="10">
        <v>42886</v>
      </c>
      <c r="P46" s="11" t="str">
        <f>"000039"</f>
        <v>000039</v>
      </c>
      <c r="Q46" s="10">
        <v>42886</v>
      </c>
      <c r="R46" s="11">
        <v>17</v>
      </c>
      <c r="S46" s="11" t="str">
        <f>"007400"</f>
        <v>007400</v>
      </c>
      <c r="T46" s="10">
        <v>43421</v>
      </c>
      <c r="U46" s="14">
        <v>13.650399999999999</v>
      </c>
      <c r="V46" s="14">
        <v>0.97040000000000004</v>
      </c>
      <c r="W46" s="14">
        <v>12.68</v>
      </c>
      <c r="X46" s="11">
        <v>279</v>
      </c>
      <c r="Y46" s="10">
        <v>43437</v>
      </c>
      <c r="Z46" s="11">
        <v>8022975610</v>
      </c>
      <c r="AA46" s="12" t="s">
        <v>179</v>
      </c>
      <c r="AB46" s="11" t="s">
        <v>41</v>
      </c>
      <c r="AC46" s="12" t="s">
        <v>42</v>
      </c>
      <c r="AD46" s="11" t="s">
        <v>43</v>
      </c>
      <c r="AE46" s="12" t="s">
        <v>44</v>
      </c>
      <c r="AF46" s="14">
        <f t="shared" si="0"/>
        <v>0.13650399999999999</v>
      </c>
      <c r="AG46" s="11" t="s">
        <v>45</v>
      </c>
    </row>
    <row r="47" spans="1:33" x14ac:dyDescent="0.2">
      <c r="A47" s="8">
        <v>7485</v>
      </c>
      <c r="B47" s="9" t="s">
        <v>173</v>
      </c>
      <c r="C47" s="10">
        <v>43437</v>
      </c>
      <c r="D47" s="11">
        <v>36</v>
      </c>
      <c r="E47" s="12" t="s">
        <v>34</v>
      </c>
      <c r="F47" s="12" t="s">
        <v>34</v>
      </c>
      <c r="G47" s="12" t="s">
        <v>35</v>
      </c>
      <c r="H47" s="12" t="s">
        <v>36</v>
      </c>
      <c r="I47" s="11" t="s">
        <v>180</v>
      </c>
      <c r="J47" s="12" t="s">
        <v>181</v>
      </c>
      <c r="K47" s="13" t="s">
        <v>39</v>
      </c>
      <c r="L47" s="11" t="str">
        <f>"000123"</f>
        <v>000123</v>
      </c>
      <c r="M47" s="10">
        <v>42804</v>
      </c>
      <c r="N47" s="11" t="str">
        <f>"000015"</f>
        <v>000015</v>
      </c>
      <c r="O47" s="10">
        <v>42886</v>
      </c>
      <c r="P47" s="11" t="str">
        <f>"000043"</f>
        <v>000043</v>
      </c>
      <c r="Q47" s="10">
        <v>42886</v>
      </c>
      <c r="R47" s="11">
        <v>17</v>
      </c>
      <c r="S47" s="11" t="str">
        <f>"007407"</f>
        <v>007407</v>
      </c>
      <c r="T47" s="10">
        <v>43421</v>
      </c>
      <c r="U47" s="14">
        <v>4.3275300000000003</v>
      </c>
      <c r="V47" s="14">
        <v>0.27710000000000001</v>
      </c>
      <c r="W47" s="14">
        <v>4.0504300000000004</v>
      </c>
      <c r="X47" s="11">
        <v>279</v>
      </c>
      <c r="Y47" s="10">
        <v>43437</v>
      </c>
      <c r="Z47" s="11">
        <v>8022975610</v>
      </c>
      <c r="AA47" s="12" t="s">
        <v>182</v>
      </c>
      <c r="AB47" s="11" t="s">
        <v>41</v>
      </c>
      <c r="AC47" s="12" t="s">
        <v>42</v>
      </c>
      <c r="AD47" s="11" t="s">
        <v>43</v>
      </c>
      <c r="AE47" s="12" t="s">
        <v>44</v>
      </c>
      <c r="AF47" s="14">
        <f t="shared" si="0"/>
        <v>4.3275300000000003E-2</v>
      </c>
      <c r="AG47" s="11" t="s">
        <v>45</v>
      </c>
    </row>
    <row r="48" spans="1:33" x14ac:dyDescent="0.2">
      <c r="A48" s="8">
        <v>7486</v>
      </c>
      <c r="B48" s="9" t="s">
        <v>173</v>
      </c>
      <c r="C48" s="10">
        <v>43437</v>
      </c>
      <c r="D48" s="11">
        <v>36</v>
      </c>
      <c r="E48" s="12" t="s">
        <v>34</v>
      </c>
      <c r="F48" s="12" t="s">
        <v>34</v>
      </c>
      <c r="G48" s="12" t="s">
        <v>35</v>
      </c>
      <c r="H48" s="12" t="s">
        <v>36</v>
      </c>
      <c r="I48" s="11" t="s">
        <v>183</v>
      </c>
      <c r="J48" s="12" t="s">
        <v>184</v>
      </c>
      <c r="K48" s="13" t="s">
        <v>114</v>
      </c>
      <c r="L48" s="11" t="str">
        <f>"000126"</f>
        <v>000126</v>
      </c>
      <c r="M48" s="10">
        <v>42804</v>
      </c>
      <c r="N48" s="11" t="str">
        <f>"000016"</f>
        <v>000016</v>
      </c>
      <c r="O48" s="10">
        <v>42886</v>
      </c>
      <c r="P48" s="11" t="str">
        <f>"000044"</f>
        <v>000044</v>
      </c>
      <c r="Q48" s="10">
        <v>42886</v>
      </c>
      <c r="R48" s="11">
        <v>17</v>
      </c>
      <c r="S48" s="11" t="str">
        <f>"007408"</f>
        <v>007408</v>
      </c>
      <c r="T48" s="10">
        <v>43421</v>
      </c>
      <c r="U48" s="14">
        <v>3.7154099999999999</v>
      </c>
      <c r="V48" s="14">
        <v>0.25281999999999999</v>
      </c>
      <c r="W48" s="14">
        <v>3.4625900000000001</v>
      </c>
      <c r="X48" s="11">
        <v>279</v>
      </c>
      <c r="Y48" s="10">
        <v>43437</v>
      </c>
      <c r="Z48" s="11">
        <v>8022975610</v>
      </c>
      <c r="AA48" s="12" t="s">
        <v>185</v>
      </c>
      <c r="AB48" s="11" t="s">
        <v>41</v>
      </c>
      <c r="AC48" s="12" t="s">
        <v>42</v>
      </c>
      <c r="AD48" s="11" t="s">
        <v>43</v>
      </c>
      <c r="AE48" s="12" t="s">
        <v>44</v>
      </c>
      <c r="AF48" s="14">
        <f t="shared" si="0"/>
        <v>3.7154099999999995E-2</v>
      </c>
      <c r="AG48" s="11" t="s">
        <v>45</v>
      </c>
    </row>
    <row r="49" spans="1:33" x14ac:dyDescent="0.2">
      <c r="A49" s="8">
        <v>7487</v>
      </c>
      <c r="B49" s="9" t="s">
        <v>173</v>
      </c>
      <c r="C49" s="10">
        <v>43437</v>
      </c>
      <c r="D49" s="11">
        <v>36</v>
      </c>
      <c r="E49" s="12" t="s">
        <v>34</v>
      </c>
      <c r="F49" s="12" t="s">
        <v>34</v>
      </c>
      <c r="G49" s="12" t="s">
        <v>35</v>
      </c>
      <c r="H49" s="12" t="s">
        <v>36</v>
      </c>
      <c r="I49" s="11" t="s">
        <v>186</v>
      </c>
      <c r="J49" s="12" t="s">
        <v>187</v>
      </c>
      <c r="K49" s="13" t="s">
        <v>54</v>
      </c>
      <c r="L49" s="11" t="str">
        <f>"000132"</f>
        <v>000132</v>
      </c>
      <c r="M49" s="10">
        <v>42815</v>
      </c>
      <c r="N49" s="11" t="str">
        <f>"000014"</f>
        <v>000014</v>
      </c>
      <c r="O49" s="10">
        <v>42886</v>
      </c>
      <c r="P49" s="11" t="str">
        <f>"000045"</f>
        <v>000045</v>
      </c>
      <c r="Q49" s="10">
        <v>42886</v>
      </c>
      <c r="R49" s="11">
        <v>17</v>
      </c>
      <c r="S49" s="11" t="str">
        <f>"007409"</f>
        <v>007409</v>
      </c>
      <c r="T49" s="10">
        <v>43421</v>
      </c>
      <c r="U49" s="14">
        <v>10.32821</v>
      </c>
      <c r="V49" s="14">
        <v>0.70025000000000004</v>
      </c>
      <c r="W49" s="14">
        <v>9.6279599999999999</v>
      </c>
      <c r="X49" s="11">
        <v>279</v>
      </c>
      <c r="Y49" s="10">
        <v>43437</v>
      </c>
      <c r="Z49" s="11">
        <v>8022975610</v>
      </c>
      <c r="AA49" s="12" t="s">
        <v>188</v>
      </c>
      <c r="AB49" s="11" t="s">
        <v>41</v>
      </c>
      <c r="AC49" s="12" t="s">
        <v>42</v>
      </c>
      <c r="AD49" s="11" t="s">
        <v>43</v>
      </c>
      <c r="AE49" s="12" t="s">
        <v>44</v>
      </c>
      <c r="AF49" s="14">
        <f t="shared" si="0"/>
        <v>0.1032821</v>
      </c>
      <c r="AG49" s="11" t="s">
        <v>45</v>
      </c>
    </row>
    <row r="50" spans="1:33" x14ac:dyDescent="0.2">
      <c r="A50" s="8">
        <v>7488</v>
      </c>
      <c r="B50" s="9" t="s">
        <v>173</v>
      </c>
      <c r="C50" s="10">
        <v>43437</v>
      </c>
      <c r="D50" s="11">
        <v>36</v>
      </c>
      <c r="E50" s="12" t="s">
        <v>34</v>
      </c>
      <c r="F50" s="12" t="s">
        <v>34</v>
      </c>
      <c r="G50" s="12" t="s">
        <v>35</v>
      </c>
      <c r="H50" s="12" t="s">
        <v>36</v>
      </c>
      <c r="I50" s="11" t="s">
        <v>189</v>
      </c>
      <c r="J50" s="12" t="s">
        <v>190</v>
      </c>
      <c r="K50" s="13" t="s">
        <v>39</v>
      </c>
      <c r="L50" s="11" t="str">
        <f>"000122"</f>
        <v>000122</v>
      </c>
      <c r="M50" s="10">
        <v>42804</v>
      </c>
      <c r="N50" s="11" t="str">
        <f>"000036"</f>
        <v>000036</v>
      </c>
      <c r="O50" s="10">
        <v>42886</v>
      </c>
      <c r="P50" s="11" t="str">
        <f>"000058"</f>
        <v>000058</v>
      </c>
      <c r="Q50" s="10">
        <v>42886</v>
      </c>
      <c r="R50" s="11">
        <v>17</v>
      </c>
      <c r="S50" s="11" t="str">
        <f>"007455"</f>
        <v>007455</v>
      </c>
      <c r="T50" s="10">
        <v>43421</v>
      </c>
      <c r="U50" s="14">
        <v>4.1633300000000002</v>
      </c>
      <c r="V50" s="14">
        <v>0.29332999999999998</v>
      </c>
      <c r="W50" s="14">
        <v>3.87</v>
      </c>
      <c r="X50" s="11">
        <v>279</v>
      </c>
      <c r="Y50" s="10">
        <v>43437</v>
      </c>
      <c r="Z50" s="11">
        <v>8022975610</v>
      </c>
      <c r="AA50" s="12" t="s">
        <v>182</v>
      </c>
      <c r="AB50" s="11" t="s">
        <v>41</v>
      </c>
      <c r="AC50" s="12" t="s">
        <v>42</v>
      </c>
      <c r="AD50" s="11" t="s">
        <v>43</v>
      </c>
      <c r="AE50" s="12" t="s">
        <v>44</v>
      </c>
      <c r="AF50" s="14">
        <f t="shared" si="0"/>
        <v>4.1633300000000005E-2</v>
      </c>
      <c r="AG50" s="11" t="s">
        <v>45</v>
      </c>
    </row>
    <row r="51" spans="1:33" x14ac:dyDescent="0.2">
      <c r="A51" s="8">
        <v>7489</v>
      </c>
      <c r="B51" s="9" t="s">
        <v>173</v>
      </c>
      <c r="C51" s="10">
        <v>43437</v>
      </c>
      <c r="D51" s="11">
        <v>36</v>
      </c>
      <c r="E51" s="12" t="s">
        <v>34</v>
      </c>
      <c r="F51" s="12" t="s">
        <v>34</v>
      </c>
      <c r="G51" s="12" t="s">
        <v>35</v>
      </c>
      <c r="H51" s="12" t="s">
        <v>36</v>
      </c>
      <c r="I51" s="11" t="s">
        <v>191</v>
      </c>
      <c r="J51" s="12" t="s">
        <v>192</v>
      </c>
      <c r="K51" s="13" t="s">
        <v>39</v>
      </c>
      <c r="L51" s="11" t="str">
        <f>"000120"</f>
        <v>000120</v>
      </c>
      <c r="M51" s="10">
        <v>42804</v>
      </c>
      <c r="N51" s="11" t="str">
        <f>"000037"</f>
        <v>000037</v>
      </c>
      <c r="O51" s="10">
        <v>42916</v>
      </c>
      <c r="P51" s="11" t="str">
        <f>"000059"</f>
        <v>000059</v>
      </c>
      <c r="Q51" s="10">
        <v>42886</v>
      </c>
      <c r="R51" s="11">
        <v>17</v>
      </c>
      <c r="S51" s="11" t="str">
        <f>"007456"</f>
        <v>007456</v>
      </c>
      <c r="T51" s="10">
        <v>43421</v>
      </c>
      <c r="U51" s="14">
        <v>4.3752899999999997</v>
      </c>
      <c r="V51" s="14">
        <v>0.31529000000000001</v>
      </c>
      <c r="W51" s="14">
        <v>4.0599999999999996</v>
      </c>
      <c r="X51" s="11">
        <v>279</v>
      </c>
      <c r="Y51" s="10">
        <v>43437</v>
      </c>
      <c r="Z51" s="11">
        <v>8022975610</v>
      </c>
      <c r="AA51" s="12" t="s">
        <v>193</v>
      </c>
      <c r="AB51" s="11" t="s">
        <v>41</v>
      </c>
      <c r="AC51" s="12" t="s">
        <v>42</v>
      </c>
      <c r="AD51" s="11" t="s">
        <v>43</v>
      </c>
      <c r="AE51" s="12" t="s">
        <v>44</v>
      </c>
      <c r="AF51" s="14">
        <f t="shared" si="0"/>
        <v>4.3752899999999997E-2</v>
      </c>
      <c r="AG51" s="11" t="s">
        <v>45</v>
      </c>
    </row>
    <row r="52" spans="1:33" x14ac:dyDescent="0.2">
      <c r="A52" s="8">
        <v>7490</v>
      </c>
      <c r="B52" s="9" t="s">
        <v>173</v>
      </c>
      <c r="C52" s="10">
        <v>43437</v>
      </c>
      <c r="D52" s="11">
        <v>36</v>
      </c>
      <c r="E52" s="12" t="s">
        <v>34</v>
      </c>
      <c r="F52" s="12" t="s">
        <v>34</v>
      </c>
      <c r="G52" s="12" t="s">
        <v>35</v>
      </c>
      <c r="H52" s="12" t="s">
        <v>36</v>
      </c>
      <c r="I52" s="11" t="s">
        <v>194</v>
      </c>
      <c r="J52" s="12" t="s">
        <v>195</v>
      </c>
      <c r="K52" s="13" t="s">
        <v>39</v>
      </c>
      <c r="L52" s="11" t="str">
        <f>"000121"</f>
        <v>000121</v>
      </c>
      <c r="M52" s="10">
        <v>42804</v>
      </c>
      <c r="N52" s="11" t="str">
        <f>"000035"</f>
        <v>000035</v>
      </c>
      <c r="O52" s="10">
        <v>42886</v>
      </c>
      <c r="P52" s="11" t="str">
        <f>"000060"</f>
        <v>000060</v>
      </c>
      <c r="Q52" s="10">
        <v>42886</v>
      </c>
      <c r="R52" s="11">
        <v>17</v>
      </c>
      <c r="S52" s="11" t="str">
        <f>"007457"</f>
        <v>007457</v>
      </c>
      <c r="T52" s="10">
        <v>43421</v>
      </c>
      <c r="U52" s="14">
        <v>4.3227500000000001</v>
      </c>
      <c r="V52" s="14">
        <v>0.48275000000000001</v>
      </c>
      <c r="W52" s="14">
        <v>3.84</v>
      </c>
      <c r="X52" s="11">
        <v>279</v>
      </c>
      <c r="Y52" s="10">
        <v>43437</v>
      </c>
      <c r="Z52" s="11">
        <v>8022975610</v>
      </c>
      <c r="AA52" s="12" t="s">
        <v>193</v>
      </c>
      <c r="AB52" s="11" t="s">
        <v>41</v>
      </c>
      <c r="AC52" s="12" t="s">
        <v>42</v>
      </c>
      <c r="AD52" s="11" t="s">
        <v>43</v>
      </c>
      <c r="AE52" s="12" t="s">
        <v>44</v>
      </c>
      <c r="AF52" s="14">
        <f t="shared" si="0"/>
        <v>4.3227500000000002E-2</v>
      </c>
      <c r="AG52" s="11" t="s">
        <v>45</v>
      </c>
    </row>
    <row r="53" spans="1:33" x14ac:dyDescent="0.2">
      <c r="A53" s="8">
        <v>7707</v>
      </c>
      <c r="B53" s="9" t="s">
        <v>173</v>
      </c>
      <c r="C53" s="10">
        <v>43448</v>
      </c>
      <c r="D53" s="11">
        <v>36</v>
      </c>
      <c r="E53" s="12" t="s">
        <v>34</v>
      </c>
      <c r="F53" s="12" t="s">
        <v>34</v>
      </c>
      <c r="G53" s="12" t="s">
        <v>35</v>
      </c>
      <c r="H53" s="12" t="s">
        <v>36</v>
      </c>
      <c r="I53" s="11" t="s">
        <v>196</v>
      </c>
      <c r="J53" s="12" t="s">
        <v>197</v>
      </c>
      <c r="K53" s="13" t="s">
        <v>54</v>
      </c>
      <c r="L53" s="11" t="str">
        <f>"000173"</f>
        <v>000173</v>
      </c>
      <c r="M53" s="10">
        <v>40759</v>
      </c>
      <c r="N53" s="11" t="str">
        <f>"000239"</f>
        <v>000239</v>
      </c>
      <c r="O53" s="10">
        <v>40842</v>
      </c>
      <c r="P53" s="11" t="str">
        <f>"000565"</f>
        <v>000565</v>
      </c>
      <c r="Q53" s="10">
        <v>40842</v>
      </c>
      <c r="R53" s="11">
        <v>12</v>
      </c>
      <c r="S53" s="11" t="str">
        <f>"007699"</f>
        <v>007699</v>
      </c>
      <c r="T53" s="10">
        <v>43441</v>
      </c>
      <c r="U53" s="14">
        <v>4.1981400000000004</v>
      </c>
      <c r="V53" s="14">
        <v>0.4864</v>
      </c>
      <c r="W53" s="14">
        <v>3.7117399999999998</v>
      </c>
      <c r="X53" s="11">
        <v>291</v>
      </c>
      <c r="Y53" s="10">
        <v>43448</v>
      </c>
      <c r="Z53" s="11">
        <v>8022975610</v>
      </c>
      <c r="AA53" s="12" t="s">
        <v>198</v>
      </c>
      <c r="AB53" s="11" t="s">
        <v>199</v>
      </c>
      <c r="AC53" s="12" t="s">
        <v>200</v>
      </c>
      <c r="AD53" s="11" t="s">
        <v>43</v>
      </c>
      <c r="AE53" s="12" t="s">
        <v>44</v>
      </c>
      <c r="AF53" s="14">
        <f t="shared" si="0"/>
        <v>4.1981400000000002E-2</v>
      </c>
      <c r="AG53" s="11" t="s">
        <v>45</v>
      </c>
    </row>
    <row r="54" spans="1:33" x14ac:dyDescent="0.2">
      <c r="A54" s="8">
        <v>7708</v>
      </c>
      <c r="B54" s="9" t="s">
        <v>173</v>
      </c>
      <c r="C54" s="10">
        <v>43448</v>
      </c>
      <c r="D54" s="11">
        <v>36</v>
      </c>
      <c r="E54" s="12" t="s">
        <v>34</v>
      </c>
      <c r="F54" s="12" t="s">
        <v>34</v>
      </c>
      <c r="G54" s="12" t="s">
        <v>35</v>
      </c>
      <c r="H54" s="12" t="s">
        <v>36</v>
      </c>
      <c r="I54" s="11" t="s">
        <v>201</v>
      </c>
      <c r="J54" s="12" t="s">
        <v>202</v>
      </c>
      <c r="K54" s="13" t="s">
        <v>39</v>
      </c>
      <c r="L54" s="11" t="str">
        <f>"000052"</f>
        <v>000052</v>
      </c>
      <c r="M54" s="10">
        <v>43039</v>
      </c>
      <c r="N54" s="11" t="str">
        <f>"000017"</f>
        <v>000017</v>
      </c>
      <c r="O54" s="10">
        <v>43039</v>
      </c>
      <c r="P54" s="11" t="str">
        <f>"000025"</f>
        <v>000025</v>
      </c>
      <c r="Q54" s="10">
        <v>43039</v>
      </c>
      <c r="R54" s="11">
        <v>16</v>
      </c>
      <c r="S54" s="11" t="str">
        <f>"007883"</f>
        <v>007883</v>
      </c>
      <c r="T54" s="10">
        <v>43445</v>
      </c>
      <c r="U54" s="14">
        <v>10.75761</v>
      </c>
      <c r="V54" s="14">
        <v>0.48014000000000001</v>
      </c>
      <c r="W54" s="14">
        <v>10.277469999999999</v>
      </c>
      <c r="X54" s="11">
        <v>292</v>
      </c>
      <c r="Y54" s="10">
        <v>43448</v>
      </c>
      <c r="Z54" s="11">
        <v>9448014707</v>
      </c>
      <c r="AA54" s="12" t="s">
        <v>203</v>
      </c>
      <c r="AB54" s="11" t="s">
        <v>41</v>
      </c>
      <c r="AC54" s="12" t="s">
        <v>42</v>
      </c>
      <c r="AD54" s="11" t="s">
        <v>43</v>
      </c>
      <c r="AE54" s="12" t="s">
        <v>44</v>
      </c>
      <c r="AF54" s="14">
        <f t="shared" si="0"/>
        <v>0.10757609999999999</v>
      </c>
      <c r="AG54" s="11" t="s">
        <v>45</v>
      </c>
    </row>
    <row r="55" spans="1:33" x14ac:dyDescent="0.2">
      <c r="A55" s="8">
        <v>9926</v>
      </c>
      <c r="B55" s="9" t="s">
        <v>204</v>
      </c>
      <c r="C55" s="10">
        <v>43552</v>
      </c>
      <c r="D55" s="11">
        <v>36</v>
      </c>
      <c r="E55" s="12" t="s">
        <v>34</v>
      </c>
      <c r="F55" s="12" t="s">
        <v>34</v>
      </c>
      <c r="G55" s="12" t="s">
        <v>35</v>
      </c>
      <c r="H55" s="12" t="s">
        <v>36</v>
      </c>
      <c r="I55" s="11" t="s">
        <v>205</v>
      </c>
      <c r="J55" s="12" t="s">
        <v>206</v>
      </c>
      <c r="K55" s="13" t="s">
        <v>207</v>
      </c>
      <c r="L55" s="11" t="str">
        <f>"000020"</f>
        <v>000020</v>
      </c>
      <c r="M55" s="10">
        <v>42870</v>
      </c>
      <c r="N55" s="11" t="str">
        <f>"000045"</f>
        <v>000045</v>
      </c>
      <c r="O55" s="10">
        <v>42916</v>
      </c>
      <c r="P55" s="11" t="str">
        <f>"000101"</f>
        <v>000101</v>
      </c>
      <c r="Q55" s="10">
        <v>42916</v>
      </c>
      <c r="R55" s="11"/>
      <c r="S55" s="11" t="str">
        <f>"009932"</f>
        <v>009932</v>
      </c>
      <c r="T55" s="10">
        <v>43549</v>
      </c>
      <c r="U55" s="14">
        <v>9.3993900000000004</v>
      </c>
      <c r="V55" s="14">
        <v>0.60160000000000002</v>
      </c>
      <c r="W55" s="14">
        <v>8.7977900000000009</v>
      </c>
      <c r="X55" s="11">
        <v>388</v>
      </c>
      <c r="Y55" s="10">
        <v>43552</v>
      </c>
      <c r="Z55" s="11">
        <v>8022975610</v>
      </c>
      <c r="AA55" s="12" t="s">
        <v>58</v>
      </c>
      <c r="AB55" s="11" t="s">
        <v>41</v>
      </c>
      <c r="AC55" s="12" t="s">
        <v>42</v>
      </c>
      <c r="AD55" s="11" t="s">
        <v>43</v>
      </c>
      <c r="AE55" s="12" t="s">
        <v>44</v>
      </c>
      <c r="AF55" s="14">
        <f t="shared" si="0"/>
        <v>9.3993900000000005E-2</v>
      </c>
      <c r="AG55" s="11" t="s">
        <v>45</v>
      </c>
    </row>
    <row r="56" spans="1:33" x14ac:dyDescent="0.2">
      <c r="A56" s="8">
        <v>10069</v>
      </c>
      <c r="B56" s="9" t="s">
        <v>204</v>
      </c>
      <c r="C56" s="10">
        <v>43552</v>
      </c>
      <c r="D56" s="11">
        <v>36</v>
      </c>
      <c r="E56" s="12" t="s">
        <v>34</v>
      </c>
      <c r="F56" s="12" t="s">
        <v>34</v>
      </c>
      <c r="G56" s="12" t="s">
        <v>35</v>
      </c>
      <c r="H56" s="12" t="s">
        <v>36</v>
      </c>
      <c r="I56" s="11" t="s">
        <v>208</v>
      </c>
      <c r="J56" s="12" t="s">
        <v>209</v>
      </c>
      <c r="K56" s="13" t="s">
        <v>39</v>
      </c>
      <c r="L56" s="11" t="str">
        <f>"000069"</f>
        <v>000069</v>
      </c>
      <c r="M56" s="10">
        <v>43043</v>
      </c>
      <c r="N56" s="11" t="str">
        <f>"000078"</f>
        <v>000078</v>
      </c>
      <c r="O56" s="10">
        <v>43253</v>
      </c>
      <c r="P56" s="11" t="str">
        <f>"000067"</f>
        <v>000067</v>
      </c>
      <c r="Q56" s="10">
        <v>43253</v>
      </c>
      <c r="R56" s="11"/>
      <c r="S56" s="11" t="str">
        <f>"009993"</f>
        <v>009993</v>
      </c>
      <c r="T56" s="10">
        <v>43551</v>
      </c>
      <c r="U56" s="14">
        <v>6.9392199999999997</v>
      </c>
      <c r="V56" s="14">
        <v>0.30531999999999998</v>
      </c>
      <c r="W56" s="14">
        <v>6.6338999999999997</v>
      </c>
      <c r="X56" s="11">
        <v>391</v>
      </c>
      <c r="Y56" s="10">
        <v>43552</v>
      </c>
      <c r="Z56" s="11">
        <v>8022975610</v>
      </c>
      <c r="AA56" s="12" t="s">
        <v>210</v>
      </c>
      <c r="AB56" s="11" t="s">
        <v>41</v>
      </c>
      <c r="AC56" s="12" t="s">
        <v>42</v>
      </c>
      <c r="AD56" s="11" t="s">
        <v>43</v>
      </c>
      <c r="AE56" s="12" t="s">
        <v>44</v>
      </c>
      <c r="AF56" s="14">
        <f t="shared" si="0"/>
        <v>6.9392200000000001E-2</v>
      </c>
      <c r="AG56" s="11" t="s">
        <v>151</v>
      </c>
    </row>
    <row r="57" spans="1:33" x14ac:dyDescent="0.2">
      <c r="A57" s="8">
        <v>10080</v>
      </c>
      <c r="B57" s="9" t="s">
        <v>204</v>
      </c>
      <c r="C57" s="10">
        <v>43552</v>
      </c>
      <c r="D57" s="11">
        <v>36</v>
      </c>
      <c r="E57" s="12" t="s">
        <v>34</v>
      </c>
      <c r="F57" s="12" t="s">
        <v>34</v>
      </c>
      <c r="G57" s="12" t="s">
        <v>35</v>
      </c>
      <c r="H57" s="12" t="s">
        <v>36</v>
      </c>
      <c r="I57" s="11" t="s">
        <v>211</v>
      </c>
      <c r="J57" s="12" t="s">
        <v>212</v>
      </c>
      <c r="K57" s="13" t="s">
        <v>79</v>
      </c>
      <c r="L57" s="11" t="str">
        <f>"000099"</f>
        <v>000099</v>
      </c>
      <c r="M57" s="10">
        <v>43251</v>
      </c>
      <c r="N57" s="11" t="str">
        <f>"000076"</f>
        <v>000076</v>
      </c>
      <c r="O57" s="10">
        <v>43252</v>
      </c>
      <c r="P57" s="11" t="str">
        <f>"000084"</f>
        <v>000084</v>
      </c>
      <c r="Q57" s="10">
        <v>43264</v>
      </c>
      <c r="R57" s="11"/>
      <c r="S57" s="11" t="str">
        <f>"010015"</f>
        <v>010015</v>
      </c>
      <c r="T57" s="10">
        <v>43551</v>
      </c>
      <c r="U57" s="14">
        <v>4.9985600000000003</v>
      </c>
      <c r="V57" s="14">
        <v>0.44488</v>
      </c>
      <c r="W57" s="14">
        <v>4.5536799999999999</v>
      </c>
      <c r="X57" s="11">
        <v>391</v>
      </c>
      <c r="Y57" s="10">
        <v>43552</v>
      </c>
      <c r="Z57" s="11">
        <v>9986334005</v>
      </c>
      <c r="AA57" s="12" t="s">
        <v>213</v>
      </c>
      <c r="AB57" s="11" t="s">
        <v>214</v>
      </c>
      <c r="AC57" s="12" t="s">
        <v>215</v>
      </c>
      <c r="AD57" s="11" t="s">
        <v>43</v>
      </c>
      <c r="AE57" s="12" t="s">
        <v>44</v>
      </c>
      <c r="AF57" s="14">
        <f t="shared" si="0"/>
        <v>4.9985600000000005E-2</v>
      </c>
      <c r="AG57" s="11" t="s">
        <v>71</v>
      </c>
    </row>
    <row r="58" spans="1:33" x14ac:dyDescent="0.2">
      <c r="A58" s="8">
        <v>10081</v>
      </c>
      <c r="B58" s="9" t="s">
        <v>204</v>
      </c>
      <c r="C58" s="10">
        <v>43552</v>
      </c>
      <c r="D58" s="11">
        <v>36</v>
      </c>
      <c r="E58" s="12" t="s">
        <v>34</v>
      </c>
      <c r="F58" s="12" t="s">
        <v>34</v>
      </c>
      <c r="G58" s="12" t="s">
        <v>35</v>
      </c>
      <c r="H58" s="12" t="s">
        <v>36</v>
      </c>
      <c r="I58" s="11" t="s">
        <v>216</v>
      </c>
      <c r="J58" s="12" t="s">
        <v>217</v>
      </c>
      <c r="K58" s="13" t="s">
        <v>79</v>
      </c>
      <c r="L58" s="11" t="str">
        <f>"000098"</f>
        <v>000098</v>
      </c>
      <c r="M58" s="10">
        <v>43251</v>
      </c>
      <c r="N58" s="11" t="str">
        <f>"000074"</f>
        <v>000074</v>
      </c>
      <c r="O58" s="10">
        <v>43251</v>
      </c>
      <c r="P58" s="11" t="str">
        <f>"000085"</f>
        <v>000085</v>
      </c>
      <c r="Q58" s="10">
        <v>43264</v>
      </c>
      <c r="R58" s="11"/>
      <c r="S58" s="11" t="str">
        <f>"010016"</f>
        <v>010016</v>
      </c>
      <c r="T58" s="10">
        <v>43551</v>
      </c>
      <c r="U58" s="14">
        <v>4.9985600000000003</v>
      </c>
      <c r="V58" s="14">
        <v>0.44488</v>
      </c>
      <c r="W58" s="14">
        <v>4.5536799999999999</v>
      </c>
      <c r="X58" s="11">
        <v>391</v>
      </c>
      <c r="Y58" s="10">
        <v>43552</v>
      </c>
      <c r="Z58" s="11">
        <v>9986334005</v>
      </c>
      <c r="AA58" s="12" t="s">
        <v>218</v>
      </c>
      <c r="AB58" s="11" t="s">
        <v>214</v>
      </c>
      <c r="AC58" s="12" t="s">
        <v>215</v>
      </c>
      <c r="AD58" s="11" t="s">
        <v>43</v>
      </c>
      <c r="AE58" s="12" t="s">
        <v>44</v>
      </c>
      <c r="AF58" s="14">
        <f t="shared" si="0"/>
        <v>4.9985600000000005E-2</v>
      </c>
      <c r="AG58" s="11" t="s">
        <v>71</v>
      </c>
    </row>
    <row r="59" spans="1:33" x14ac:dyDescent="0.2">
      <c r="A59" s="8">
        <v>10082</v>
      </c>
      <c r="B59" s="9" t="s">
        <v>204</v>
      </c>
      <c r="C59" s="10">
        <v>43552</v>
      </c>
      <c r="D59" s="11">
        <v>36</v>
      </c>
      <c r="E59" s="12" t="s">
        <v>34</v>
      </c>
      <c r="F59" s="12" t="s">
        <v>34</v>
      </c>
      <c r="G59" s="12" t="s">
        <v>35</v>
      </c>
      <c r="H59" s="12" t="s">
        <v>36</v>
      </c>
      <c r="I59" s="11" t="s">
        <v>219</v>
      </c>
      <c r="J59" s="12" t="s">
        <v>220</v>
      </c>
      <c r="K59" s="13" t="s">
        <v>79</v>
      </c>
      <c r="L59" s="11" t="str">
        <f>"000097"</f>
        <v>000097</v>
      </c>
      <c r="M59" s="10">
        <v>43251</v>
      </c>
      <c r="N59" s="11" t="str">
        <f>"000075"</f>
        <v>000075</v>
      </c>
      <c r="O59" s="10">
        <v>43252</v>
      </c>
      <c r="P59" s="11" t="str">
        <f>"000086"</f>
        <v>000086</v>
      </c>
      <c r="Q59" s="10">
        <v>43264</v>
      </c>
      <c r="R59" s="11"/>
      <c r="S59" s="11" t="str">
        <f>"010017"</f>
        <v>010017</v>
      </c>
      <c r="T59" s="10">
        <v>43551</v>
      </c>
      <c r="U59" s="14">
        <v>4.9985600000000003</v>
      </c>
      <c r="V59" s="14">
        <v>0.44488</v>
      </c>
      <c r="W59" s="14">
        <v>4.5536799999999999</v>
      </c>
      <c r="X59" s="11">
        <v>391</v>
      </c>
      <c r="Y59" s="10">
        <v>43552</v>
      </c>
      <c r="Z59" s="11">
        <v>8022975610</v>
      </c>
      <c r="AA59" s="12" t="s">
        <v>68</v>
      </c>
      <c r="AB59" s="11" t="s">
        <v>214</v>
      </c>
      <c r="AC59" s="12" t="s">
        <v>215</v>
      </c>
      <c r="AD59" s="11" t="s">
        <v>43</v>
      </c>
      <c r="AE59" s="12" t="s">
        <v>44</v>
      </c>
      <c r="AF59" s="14">
        <f t="shared" si="0"/>
        <v>4.9985600000000005E-2</v>
      </c>
      <c r="AG59" s="11" t="s">
        <v>71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2019-06-12T11:05:19Z</dcterms:modified>
</cp:coreProperties>
</file>