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2" i="1" l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<sst xmlns="http://schemas.openxmlformats.org/spreadsheetml/2006/main" count="611" uniqueCount="197">
  <si>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</si>
  <si>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</si>
  <si>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</si>
  <si>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</si>
  <si>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</si>
  <si>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</si>
  <si>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</si>
  <si>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</si>
  <si>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</si>
  <si>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</si>
  <si>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</si>
  <si>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</si>
  <si>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</si>
  <si>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</si>
  <si>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</si>
  <si>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</si>
  <si>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</si>
  <si>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</si>
  <si>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</si>
  <si>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</si>
  <si>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</si>
  <si>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</si>
  <si>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</si>
  <si>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</si>
  <si>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</si>
  <si>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</si>
  <si>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</si>
  <si>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</si>
  <si>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</si>
  <si>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</si>
  <si>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</si>
  <si>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</si>
  <si>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</si>
  <si>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</si>
  <si>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Chokkasandra</t>
  </si>
  <si>
    <t>Peenya Industrial Town</t>
  </si>
  <si>
    <t>Heggana Halli</t>
  </si>
  <si>
    <t>Dasara Halli</t>
  </si>
  <si>
    <t>039-15-000011</t>
  </si>
  <si>
    <t>Engaging private labours and tracto 2nd shift for the year 2014-15</t>
  </si>
  <si>
    <t>Other Ward Works</t>
  </si>
  <si>
    <t>Prabhakar A G</t>
  </si>
  <si>
    <t>P1771</t>
  </si>
  <si>
    <t>Zone Works - POW Works</t>
  </si>
  <si>
    <t>ddo463</t>
  </si>
  <si>
    <t xml:space="preserve"> Assistant Executive Engineer Peenya Industrial Area Dasarahalli Zone</t>
  </si>
  <si>
    <t>Pending</t>
  </si>
  <si>
    <t>039-17-000041</t>
  </si>
  <si>
    <t>Providing drinking water works in Ward No 39 in Dasarahalli Division .</t>
  </si>
  <si>
    <t>Drinking Water</t>
  </si>
  <si>
    <t>KRIDL</t>
  </si>
  <si>
    <t>P3110</t>
  </si>
  <si>
    <t>14th Finance Commission Grant Works</t>
  </si>
  <si>
    <t>039-15-000036</t>
  </si>
  <si>
    <t>Drilling of new Borewells at Ward No.39</t>
  </si>
  <si>
    <t>Water &amp; Sanitary</t>
  </si>
  <si>
    <t>P0299</t>
  </si>
  <si>
    <t>Drilling and Maintenance of Borewells, Pumpsets and Pipe lines, Erection and Installation etc</t>
  </si>
  <si>
    <t>ddo464</t>
  </si>
  <si>
    <t xml:space="preserve"> Assistant Executive Engineer Project - 1 Dasarahalli Zone</t>
  </si>
  <si>
    <t>June</t>
  </si>
  <si>
    <t>039-16-000007</t>
  </si>
  <si>
    <t>Pot holes filling to ward Surrounding areas Chokkasandra HMT layout, Vidyanagar, Maruthi Badavane in Ward No. 39</t>
  </si>
  <si>
    <t>Roads &amp; Drivablility</t>
  </si>
  <si>
    <t>G.N.RAMESH</t>
  </si>
  <si>
    <t>039-14-000032</t>
  </si>
  <si>
    <t>Construction of drain to mariswamappa badavane maruthi badavane road in ward no 39 Chokkasandra</t>
  </si>
  <si>
    <t>Footpaths &amp; Walkability</t>
  </si>
  <si>
    <t>P0190</t>
  </si>
  <si>
    <t>Works sanctioned by Hon Mayor</t>
  </si>
  <si>
    <t>039-14-000034</t>
  </si>
  <si>
    <t>Construction of drain and asphalting to jodibavi road crosses rukmininagara road crosses in ward no 39 Chokkasandra</t>
  </si>
  <si>
    <t>039-15-000008</t>
  </si>
  <si>
    <t>Asphalting to Vidyanagara main road and cross road in ward no. 39 Chokkasandra</t>
  </si>
  <si>
    <t>B.Mohan Kumar</t>
  </si>
  <si>
    <t>039-15-000004</t>
  </si>
  <si>
    <t>Asphalting and improvements of drain to 6th main Ganapathi temple road Rukmini nagar in ward no. 39</t>
  </si>
  <si>
    <t>039-15-000003</t>
  </si>
  <si>
    <t>Asphalting and improvement of drain to 1st main Amaravathi layout in ward no. 39</t>
  </si>
  <si>
    <t>039-16-000003</t>
  </si>
  <si>
    <t>Improvements of Maruthi Badavane Roads, Vidyanagara Roads, Jammanagunte Roads in ward no 39 Chokkasandra</t>
  </si>
  <si>
    <t>G.N RAMESH</t>
  </si>
  <si>
    <t>039-15-000035</t>
  </si>
  <si>
    <t xml:space="preserve">Asphalting to amaravathi layout road crosses in ward no 39 </t>
  </si>
  <si>
    <t>P3075</t>
  </si>
  <si>
    <t>Special comprehensive development works in Bangalore city (Bangalore city in charge Minister Discretionary Grants)</t>
  </si>
  <si>
    <t>039-15-000032</t>
  </si>
  <si>
    <t xml:space="preserve">Asphalting in Netaji nagara cross roads in ward no 39 </t>
  </si>
  <si>
    <t>039-15-000031</t>
  </si>
  <si>
    <t xml:space="preserve">Asphalting in Chokkasandra 1st 3rd 5th 6th cross roads in ward no 39 </t>
  </si>
  <si>
    <t>039-15-000033</t>
  </si>
  <si>
    <t xml:space="preserve">Improvements to Nagamma badavane cross roads in ward no 39 </t>
  </si>
  <si>
    <t>039-15-000034</t>
  </si>
  <si>
    <t xml:space="preserve">Improvements of Maruthi badavane cross roads in ward no 39 </t>
  </si>
  <si>
    <t>July</t>
  </si>
  <si>
    <t>039-15-000013</t>
  </si>
  <si>
    <t>Improvements of 2nd cross road Maruti Layout in ward no 39, Chokkasandra</t>
  </si>
  <si>
    <t>RANGANNA</t>
  </si>
  <si>
    <t>039-16-000028</t>
  </si>
  <si>
    <t>Asphalting and Improvements of roads to HMT Layout near DWCC in ward no 39</t>
  </si>
  <si>
    <t>Health &amp; Sanitation</t>
  </si>
  <si>
    <t>TN LAKSHMANGOWDA</t>
  </si>
  <si>
    <t>P3089</t>
  </si>
  <si>
    <t>Special Development works in 7 CMC and 1 TMC area in BBMP</t>
  </si>
  <si>
    <t>039-16-000029</t>
  </si>
  <si>
    <t>Asphalting and Improvements to Nagasandra School Road upto DWCC Chokkasandra in ward no 39</t>
  </si>
  <si>
    <t>TN LAKSHMAN GOWDA</t>
  </si>
  <si>
    <t>039-16-000001</t>
  </si>
  <si>
    <t>Operation and Maintenance of stree light at Ward No.39 Chokkasandra Package D-6</t>
  </si>
  <si>
    <t>A</t>
  </si>
  <si>
    <t>Kusuma Electricals</t>
  </si>
  <si>
    <t>P0300</t>
  </si>
  <si>
    <t>M and R to Street Lights - Replacement of Burnt Bulbs etc. (Package)</t>
  </si>
  <si>
    <t>ddo466</t>
  </si>
  <si>
    <t xml:space="preserve"> Assistant Executive Engineer Electrical Dasarahalli Zone</t>
  </si>
  <si>
    <t>August</t>
  </si>
  <si>
    <t>039-14-000003</t>
  </si>
  <si>
    <t>Construction of Asphalt road to 5th main road and approach roads of Rukmininagara in ward no. 39</t>
  </si>
  <si>
    <t>JAYAMMA. K</t>
  </si>
  <si>
    <t>039-16-000027</t>
  </si>
  <si>
    <t>Asphalting and Improvements of roads to Rukmini nagara 7th cross and Kalyani Pradesha roads in ward no 39</t>
  </si>
  <si>
    <t>G N RAMESH</t>
  </si>
  <si>
    <t>039-16-000025</t>
  </si>
  <si>
    <t>Asphalting to Maruthi Badavane 2nd cross roads in ward no 39</t>
  </si>
  <si>
    <t>September</t>
  </si>
  <si>
    <t>039-18-000001</t>
  </si>
  <si>
    <t>Drilling of borewells providing pump motor and pipeline in ward no 39 chokkasandra in PIA sud division</t>
  </si>
  <si>
    <t>P1802</t>
  </si>
  <si>
    <t>Water Supply New Areas</t>
  </si>
  <si>
    <t>039-17-000036</t>
  </si>
  <si>
    <t>Drilling of borewell in ward no 39 in PIA sud division</t>
  </si>
  <si>
    <t>039-15-000026</t>
  </si>
  <si>
    <t>Providing Pathway lightings to Dasarahalli Lake Flood lightings to STP plant and Kalyani and lightings to Park opposite to lake</t>
  </si>
  <si>
    <t>Trees, Parks &amp; Playgrounds</t>
  </si>
  <si>
    <t>M/s Sri. Durga Enterprises</t>
  </si>
  <si>
    <t>P2093</t>
  </si>
  <si>
    <t>Dasarahalli kere Lake</t>
  </si>
  <si>
    <t>October</t>
  </si>
  <si>
    <t>039-17-000037</t>
  </si>
  <si>
    <t>Engagement of Gangman and Hiring of Troctor Tippers for cleaning and maintenance of road side drains and other civil works in ward 39</t>
  </si>
  <si>
    <t>R.Shivaram</t>
  </si>
  <si>
    <t>Spill Over</t>
  </si>
  <si>
    <t>039-14-000038</t>
  </si>
  <si>
    <t>Construction of size stone masonry and stone covering lab at Narayanapura Colony main road in ward no 39</t>
  </si>
  <si>
    <t>JAYAMMA K</t>
  </si>
  <si>
    <t>P1878</t>
  </si>
  <si>
    <t>18per - Works (Bhagyajyothi, Sooru / Neeru Yojane and General) (54 Lakhs / New Wards)</t>
  </si>
  <si>
    <t>039-16-000005</t>
  </si>
  <si>
    <t>Maintenance of ward Footpaths in main and cross roads of Chokkasandra, in Ward No. 39 of PIA subdivision.</t>
  </si>
  <si>
    <t>B UMENSH</t>
  </si>
  <si>
    <t>November</t>
  </si>
  <si>
    <t>039-19-000002</t>
  </si>
  <si>
    <t>Providing LED Street Lights at Narayana Main roads cross roads and Surrounding area in ward No 39</t>
  </si>
  <si>
    <t>THE TECHNICAL MANAGER-2(BBMP)KRIDL</t>
  </si>
  <si>
    <t>P3111</t>
  </si>
  <si>
    <t>State Finance Commission Untied Grant Works</t>
  </si>
  <si>
    <t>Current</t>
  </si>
  <si>
    <t>December</t>
  </si>
  <si>
    <t>039-19-000001</t>
  </si>
  <si>
    <t>Providing LED Street Lights at Chokkasandra Surrounding area Various cross roads in ward No 39</t>
  </si>
  <si>
    <t>THE TECHNICAL MANAGER-2(BBMP) KRIDL</t>
  </si>
  <si>
    <t>P3409</t>
  </si>
  <si>
    <t>SFC Untied SC-SP/TSP Grant works</t>
  </si>
  <si>
    <t>January</t>
  </si>
  <si>
    <t>039-18-000013</t>
  </si>
  <si>
    <t>Providing additional Street lights in ward No. 39, Chokkasandra.</t>
  </si>
  <si>
    <t>THE TECHNICAL MANAGER-2 (BBMP) KRIDL</t>
  </si>
  <si>
    <t>P3290</t>
  </si>
  <si>
    <t>14th Finance Commission Works - Providing Street Lights and Maintenance</t>
  </si>
  <si>
    <t>February</t>
  </si>
  <si>
    <t>039-18-000010</t>
  </si>
  <si>
    <t>Improvements to UGD and roads in missing bits at Chokkasandra in ward No.39</t>
  </si>
  <si>
    <t xml:space="preserve">G.N Ramesh </t>
  </si>
  <si>
    <t>P3295</t>
  </si>
  <si>
    <t>14th Finance Commission Works - UGD Works</t>
  </si>
  <si>
    <t>039-17-000042</t>
  </si>
  <si>
    <t>Providing CC Camera at Garbage Block Spots in ward no 39.</t>
  </si>
  <si>
    <t>Crime &amp; Safety</t>
  </si>
  <si>
    <t>K.Jagadish</t>
  </si>
  <si>
    <t>Lakes</t>
  </si>
  <si>
    <t>March</t>
  </si>
  <si>
    <t>039-16-000032</t>
  </si>
  <si>
    <t>Construction of public toilet block near KIADB main road near dasarahalli lake gate in ward no 39 chokkasandra dasarahalli zone</t>
  </si>
  <si>
    <t>UMESH B</t>
  </si>
  <si>
    <t>039-17-000004</t>
  </si>
  <si>
    <t>Construction of Shed and Providing RO plant in ward no 39 chokkasandra PIA Sub division</t>
  </si>
  <si>
    <t>039-17-000002</t>
  </si>
  <si>
    <t>Construction of Culverts in ward no 39 chokkasandra PIA Sub division</t>
  </si>
  <si>
    <t>Aswathappa. G</t>
  </si>
  <si>
    <t>307-15-000040</t>
  </si>
  <si>
    <t xml:space="preserve">Excavating of Accumulated earth in SWD (DH 213) Dasarahalli tank- Rukmininagar Chikkabidarakallu tank. Ward No.39 </t>
  </si>
  <si>
    <t>Storm Water Drains</t>
  </si>
  <si>
    <t>Sri.Prabhakar A G</t>
  </si>
  <si>
    <t>P2351</t>
  </si>
  <si>
    <t>Remodelling of Hebbala Valley (Non Jnnurm Works</t>
  </si>
  <si>
    <t>ddo313</t>
  </si>
  <si>
    <t xml:space="preserve"> Chief Engineer SWD Central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</si>
</sst>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pane ySplit="1" topLeftCell="A2" activePane="bottomLeft" state="frozen"/>
      <selection activeCell="H1" sqref="H1"/>
      <selection pane="bottomLeft" activeCell="A2" sqref="A1:XFD104857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351</v>
      </c>
      <c r="B2" s="9" t="s">
        <v>33</v>
      </c>
      <c r="C2" s="10">
        <v>43200</v>
      </c>
      <c r="D2" s="11">
        <v>39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"000341"</f>
        <v>000341</v>
      </c>
      <c r="M2" s="10">
        <v>42094</v>
      </c>
      <c r="N2" s="11" t="str">
        <f>"000037"</f>
        <v>000037</v>
      </c>
      <c r="O2" s="10">
        <v>42549</v>
      </c>
      <c r="P2" s="11" t="str">
        <f>"000236"</f>
        <v>000236</v>
      </c>
      <c r="Q2" s="10">
        <v>42557</v>
      </c>
      <c r="R2" s="11">
        <v>15</v>
      </c>
      <c r="S2" s="11" t="str">
        <f>"000210"</f>
        <v>000210</v>
      </c>
      <c r="T2" s="10">
        <v>43194</v>
      </c>
      <c r="U2" s="14">
        <v>4.82498</v>
      </c>
      <c r="V2" s="14">
        <v>0.10131999999999999</v>
      </c>
      <c r="W2" s="14">
        <v>4.7236599999999997</v>
      </c>
      <c r="X2" s="11">
        <v>9</v>
      </c>
      <c r="Y2" s="10">
        <v>43200</v>
      </c>
      <c r="Z2" s="11">
        <v>7899933805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4.8249800000000002E-2</v>
      </c>
      <c r="AG2" s="11" t="s">
        <v>46</v>
      </c>
    </row>
    <row r="3" spans="1:33" x14ac:dyDescent="0.2">
      <c r="A3" s="8">
        <v>352</v>
      </c>
      <c r="B3" s="9" t="s">
        <v>33</v>
      </c>
      <c r="C3" s="10">
        <v>43200</v>
      </c>
      <c r="D3" s="11">
        <v>39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"000163"</f>
        <v>000163</v>
      </c>
      <c r="M3" s="10">
        <v>43097</v>
      </c>
      <c r="N3" s="11" t="str">
        <f>"000022"</f>
        <v>000022</v>
      </c>
      <c r="O3" s="10">
        <v>43162</v>
      </c>
      <c r="P3" s="11" t="str">
        <f>"000123"</f>
        <v>000123</v>
      </c>
      <c r="Q3" s="10">
        <v>43173</v>
      </c>
      <c r="R3" s="11">
        <v>17</v>
      </c>
      <c r="S3" s="11" t="str">
        <f>"000432"</f>
        <v>000432</v>
      </c>
      <c r="T3" s="10">
        <v>43199</v>
      </c>
      <c r="U3" s="14">
        <v>12.79993</v>
      </c>
      <c r="V3" s="14">
        <v>1.0548</v>
      </c>
      <c r="W3" s="14">
        <v>11.74513</v>
      </c>
      <c r="X3" s="11">
        <v>13</v>
      </c>
      <c r="Y3" s="10">
        <v>43200</v>
      </c>
      <c r="Z3" s="11">
        <v>9980806791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0.12799930000000001</v>
      </c>
      <c r="AG3" s="11" t="s">
        <v>46</v>
      </c>
    </row>
    <row r="4" spans="1:33" x14ac:dyDescent="0.2">
      <c r="A4" s="8">
        <v>509</v>
      </c>
      <c r="B4" s="9" t="s">
        <v>33</v>
      </c>
      <c r="C4" s="10">
        <v>43203</v>
      </c>
      <c r="D4" s="11">
        <v>39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53</v>
      </c>
      <c r="J4" s="12" t="s">
        <v>54</v>
      </c>
      <c r="K4" s="13" t="s">
        <v>55</v>
      </c>
      <c r="L4" s="11" t="str">
        <f>"000018"</f>
        <v>000018</v>
      </c>
      <c r="M4" s="10">
        <v>42556</v>
      </c>
      <c r="N4" s="11" t="str">
        <f>"000016"</f>
        <v>000016</v>
      </c>
      <c r="O4" s="10">
        <v>42704</v>
      </c>
      <c r="P4" s="11" t="str">
        <f>"000007"</f>
        <v>000007</v>
      </c>
      <c r="Q4" s="10">
        <v>42725</v>
      </c>
      <c r="R4" s="11">
        <v>15</v>
      </c>
      <c r="S4" s="11" t="str">
        <f>"000389"</f>
        <v>000389</v>
      </c>
      <c r="T4" s="10">
        <v>43197</v>
      </c>
      <c r="U4" s="14">
        <v>5.7889999999999997</v>
      </c>
      <c r="V4" s="14">
        <v>0.70047999999999999</v>
      </c>
      <c r="W4" s="14">
        <v>5.0885199999999999</v>
      </c>
      <c r="X4" s="11">
        <v>20</v>
      </c>
      <c r="Y4" s="10">
        <v>43203</v>
      </c>
      <c r="Z4" s="11">
        <v>9448756051</v>
      </c>
      <c r="AA4" s="12" t="s">
        <v>50</v>
      </c>
      <c r="AB4" s="11" t="s">
        <v>56</v>
      </c>
      <c r="AC4" s="12" t="s">
        <v>57</v>
      </c>
      <c r="AD4" s="11" t="s">
        <v>58</v>
      </c>
      <c r="AE4" s="12" t="s">
        <v>59</v>
      </c>
      <c r="AF4" s="14">
        <v>5.7889999999999997E-2</v>
      </c>
      <c r="AG4" s="11" t="s">
        <v>46</v>
      </c>
    </row>
    <row r="5" spans="1:33" x14ac:dyDescent="0.2">
      <c r="A5" s="8">
        <v>2242</v>
      </c>
      <c r="B5" s="9" t="s">
        <v>60</v>
      </c>
      <c r="C5" s="10">
        <v>43269</v>
      </c>
      <c r="D5" s="11">
        <v>39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61</v>
      </c>
      <c r="J5" s="12" t="s">
        <v>62</v>
      </c>
      <c r="K5" s="13" t="s">
        <v>63</v>
      </c>
      <c r="L5" s="11" t="str">
        <f>"000087"</f>
        <v>000087</v>
      </c>
      <c r="M5" s="10">
        <v>42453</v>
      </c>
      <c r="N5" s="11" t="str">
        <f>"000074"</f>
        <v>000074</v>
      </c>
      <c r="O5" s="10">
        <v>42613</v>
      </c>
      <c r="P5" s="11" t="str">
        <f>"000395"</f>
        <v>000395</v>
      </c>
      <c r="Q5" s="10">
        <v>42613</v>
      </c>
      <c r="R5" s="11">
        <v>16</v>
      </c>
      <c r="S5" s="11" t="str">
        <f>"002582"</f>
        <v>002582</v>
      </c>
      <c r="T5" s="10">
        <v>43265</v>
      </c>
      <c r="U5" s="14">
        <v>9.3785600000000002</v>
      </c>
      <c r="V5" s="14">
        <v>0.67022000000000004</v>
      </c>
      <c r="W5" s="14">
        <v>8.7083399999999997</v>
      </c>
      <c r="X5" s="11">
        <v>90</v>
      </c>
      <c r="Y5" s="10">
        <v>43269</v>
      </c>
      <c r="Z5" s="11">
        <v>9743188999</v>
      </c>
      <c r="AA5" s="12" t="s">
        <v>64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9.3785599999999997E-2</v>
      </c>
      <c r="AG5" s="11" t="s">
        <v>46</v>
      </c>
    </row>
    <row r="6" spans="1:33" x14ac:dyDescent="0.2">
      <c r="A6" s="8">
        <v>2496</v>
      </c>
      <c r="B6" s="9" t="s">
        <v>60</v>
      </c>
      <c r="C6" s="10">
        <v>43274</v>
      </c>
      <c r="D6" s="11">
        <v>39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65</v>
      </c>
      <c r="J6" s="12" t="s">
        <v>66</v>
      </c>
      <c r="K6" s="13" t="s">
        <v>67</v>
      </c>
      <c r="L6" s="11" t="str">
        <f>"000276"</f>
        <v>000276</v>
      </c>
      <c r="M6" s="10">
        <v>42063</v>
      </c>
      <c r="N6" s="11" t="str">
        <f>"000087"</f>
        <v>000087</v>
      </c>
      <c r="O6" s="10">
        <v>42665</v>
      </c>
      <c r="P6" s="11" t="str">
        <f>"000476"</f>
        <v>000476</v>
      </c>
      <c r="Q6" s="10">
        <v>42669</v>
      </c>
      <c r="R6" s="11">
        <v>14</v>
      </c>
      <c r="S6" s="11" t="str">
        <f>"002769"</f>
        <v>002769</v>
      </c>
      <c r="T6" s="10">
        <v>43271</v>
      </c>
      <c r="U6" s="14">
        <v>29.127579999999998</v>
      </c>
      <c r="V6" s="14">
        <v>3.8860800000000002</v>
      </c>
      <c r="W6" s="14">
        <v>25.241499999999998</v>
      </c>
      <c r="X6" s="11">
        <v>99</v>
      </c>
      <c r="Y6" s="10">
        <v>43274</v>
      </c>
      <c r="Z6" s="11">
        <v>9889219009</v>
      </c>
      <c r="AA6" s="12" t="s">
        <v>50</v>
      </c>
      <c r="AB6" s="11" t="s">
        <v>68</v>
      </c>
      <c r="AC6" s="12" t="s">
        <v>69</v>
      </c>
      <c r="AD6" s="11" t="s">
        <v>44</v>
      </c>
      <c r="AE6" s="12" t="s">
        <v>45</v>
      </c>
      <c r="AF6" s="14">
        <v>0.29127579999999997</v>
      </c>
      <c r="AG6" s="11" t="s">
        <v>46</v>
      </c>
    </row>
    <row r="7" spans="1:33" x14ac:dyDescent="0.2">
      <c r="A7" s="8">
        <v>2497</v>
      </c>
      <c r="B7" s="9" t="s">
        <v>60</v>
      </c>
      <c r="C7" s="10">
        <v>43274</v>
      </c>
      <c r="D7" s="11">
        <v>39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70</v>
      </c>
      <c r="J7" s="12" t="s">
        <v>71</v>
      </c>
      <c r="K7" s="13" t="s">
        <v>67</v>
      </c>
      <c r="L7" s="11" t="str">
        <f>"000277"</f>
        <v>000277</v>
      </c>
      <c r="M7" s="10">
        <v>42063</v>
      </c>
      <c r="N7" s="11" t="str">
        <f>"000088"</f>
        <v>000088</v>
      </c>
      <c r="O7" s="10">
        <v>42665</v>
      </c>
      <c r="P7" s="11" t="str">
        <f>"000477"</f>
        <v>000477</v>
      </c>
      <c r="Q7" s="10">
        <v>42669</v>
      </c>
      <c r="R7" s="11">
        <v>14</v>
      </c>
      <c r="S7" s="11" t="str">
        <f>"002770"</f>
        <v>002770</v>
      </c>
      <c r="T7" s="10">
        <v>43271</v>
      </c>
      <c r="U7" s="14">
        <v>24.588249999999999</v>
      </c>
      <c r="V7" s="14">
        <v>3.3870100000000001</v>
      </c>
      <c r="W7" s="14">
        <v>21.201239999999999</v>
      </c>
      <c r="X7" s="11">
        <v>99</v>
      </c>
      <c r="Y7" s="10">
        <v>43274</v>
      </c>
      <c r="Z7" s="11">
        <v>9889219009</v>
      </c>
      <c r="AA7" s="12" t="s">
        <v>50</v>
      </c>
      <c r="AB7" s="11" t="s">
        <v>68</v>
      </c>
      <c r="AC7" s="12" t="s">
        <v>69</v>
      </c>
      <c r="AD7" s="11" t="s">
        <v>44</v>
      </c>
      <c r="AE7" s="12" t="s">
        <v>45</v>
      </c>
      <c r="AF7" s="14">
        <v>0.24588249999999998</v>
      </c>
      <c r="AG7" s="11" t="s">
        <v>46</v>
      </c>
    </row>
    <row r="8" spans="1:33" x14ac:dyDescent="0.2">
      <c r="A8" s="8">
        <v>2498</v>
      </c>
      <c r="B8" s="9" t="s">
        <v>60</v>
      </c>
      <c r="C8" s="10">
        <v>43274</v>
      </c>
      <c r="D8" s="11">
        <v>39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72</v>
      </c>
      <c r="J8" s="12" t="s">
        <v>73</v>
      </c>
      <c r="K8" s="13" t="s">
        <v>63</v>
      </c>
      <c r="L8" s="11" t="str">
        <f>"000023"</f>
        <v>000023</v>
      </c>
      <c r="M8" s="10">
        <v>42110</v>
      </c>
      <c r="N8" s="11" t="str">
        <f>"000094"</f>
        <v>000094</v>
      </c>
      <c r="O8" s="10">
        <v>42665</v>
      </c>
      <c r="P8" s="11" t="str">
        <f>"000482"</f>
        <v>000482</v>
      </c>
      <c r="Q8" s="10">
        <v>42669</v>
      </c>
      <c r="R8" s="11">
        <v>15</v>
      </c>
      <c r="S8" s="11" t="str">
        <f>"002773"</f>
        <v>002773</v>
      </c>
      <c r="T8" s="10">
        <v>43271</v>
      </c>
      <c r="U8" s="14">
        <v>19.177119999999999</v>
      </c>
      <c r="V8" s="14">
        <v>1.4437800000000001</v>
      </c>
      <c r="W8" s="14">
        <v>17.733339999999998</v>
      </c>
      <c r="X8" s="11">
        <v>99</v>
      </c>
      <c r="Y8" s="10">
        <v>43274</v>
      </c>
      <c r="Z8" s="11">
        <v>9731223456</v>
      </c>
      <c r="AA8" s="12" t="s">
        <v>74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0.19177119999999998</v>
      </c>
      <c r="AG8" s="11" t="s">
        <v>46</v>
      </c>
    </row>
    <row r="9" spans="1:33" x14ac:dyDescent="0.2">
      <c r="A9" s="8">
        <v>2499</v>
      </c>
      <c r="B9" s="9" t="s">
        <v>60</v>
      </c>
      <c r="C9" s="10">
        <v>43274</v>
      </c>
      <c r="D9" s="11">
        <v>39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75</v>
      </c>
      <c r="J9" s="12" t="s">
        <v>76</v>
      </c>
      <c r="K9" s="13" t="s">
        <v>67</v>
      </c>
      <c r="L9" s="11" t="str">
        <f>"000022"</f>
        <v>000022</v>
      </c>
      <c r="M9" s="10">
        <v>42110</v>
      </c>
      <c r="N9" s="11" t="str">
        <f>"000097"</f>
        <v>000097</v>
      </c>
      <c r="O9" s="10">
        <v>42665</v>
      </c>
      <c r="P9" s="11" t="str">
        <f>"000484"</f>
        <v>000484</v>
      </c>
      <c r="Q9" s="10">
        <v>42669</v>
      </c>
      <c r="R9" s="11">
        <v>15</v>
      </c>
      <c r="S9" s="11" t="str">
        <f>"002774"</f>
        <v>002774</v>
      </c>
      <c r="T9" s="10">
        <v>43271</v>
      </c>
      <c r="U9" s="14">
        <v>19.17062</v>
      </c>
      <c r="V9" s="14">
        <v>1.4473400000000001</v>
      </c>
      <c r="W9" s="14">
        <v>17.723279999999999</v>
      </c>
      <c r="X9" s="11">
        <v>99</v>
      </c>
      <c r="Y9" s="10">
        <v>43274</v>
      </c>
      <c r="Z9" s="11">
        <v>9731223456</v>
      </c>
      <c r="AA9" s="12" t="s">
        <v>74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0.19170619999999999</v>
      </c>
      <c r="AG9" s="11" t="s">
        <v>46</v>
      </c>
    </row>
    <row r="10" spans="1:33" x14ac:dyDescent="0.2">
      <c r="A10" s="8">
        <v>2500</v>
      </c>
      <c r="B10" s="9" t="s">
        <v>60</v>
      </c>
      <c r="C10" s="10">
        <v>43274</v>
      </c>
      <c r="D10" s="11">
        <v>39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77</v>
      </c>
      <c r="J10" s="12" t="s">
        <v>78</v>
      </c>
      <c r="K10" s="13" t="s">
        <v>67</v>
      </c>
      <c r="L10" s="11" t="str">
        <f>"000410"</f>
        <v>000410</v>
      </c>
      <c r="M10" s="10">
        <v>42094</v>
      </c>
      <c r="N10" s="11" t="str">
        <f>"000096"</f>
        <v>000096</v>
      </c>
      <c r="O10" s="10">
        <v>42665</v>
      </c>
      <c r="P10" s="11" t="str">
        <f>"000485"</f>
        <v>000485</v>
      </c>
      <c r="Q10" s="10">
        <v>42669</v>
      </c>
      <c r="R10" s="11">
        <v>15</v>
      </c>
      <c r="S10" s="11" t="str">
        <f>"002775"</f>
        <v>002775</v>
      </c>
      <c r="T10" s="10">
        <v>43271</v>
      </c>
      <c r="U10" s="14">
        <v>19.283719999999999</v>
      </c>
      <c r="V10" s="14">
        <v>1.44414</v>
      </c>
      <c r="W10" s="14">
        <v>17.839580000000002</v>
      </c>
      <c r="X10" s="11">
        <v>99</v>
      </c>
      <c r="Y10" s="10">
        <v>43274</v>
      </c>
      <c r="Z10" s="11">
        <v>9731223456</v>
      </c>
      <c r="AA10" s="12" t="s">
        <v>74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0.19283719999999999</v>
      </c>
      <c r="AG10" s="11" t="s">
        <v>46</v>
      </c>
    </row>
    <row r="11" spans="1:33" x14ac:dyDescent="0.2">
      <c r="A11" s="8">
        <v>2501</v>
      </c>
      <c r="B11" s="9" t="s">
        <v>60</v>
      </c>
      <c r="C11" s="10">
        <v>43274</v>
      </c>
      <c r="D11" s="11">
        <v>39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79</v>
      </c>
      <c r="J11" s="12" t="s">
        <v>80</v>
      </c>
      <c r="K11" s="13" t="s">
        <v>40</v>
      </c>
      <c r="L11" s="11" t="str">
        <f>"000076"</f>
        <v>000076</v>
      </c>
      <c r="M11" s="10">
        <v>42639</v>
      </c>
      <c r="N11" s="11" t="str">
        <f>"000081"</f>
        <v>000081</v>
      </c>
      <c r="O11" s="10">
        <v>42665</v>
      </c>
      <c r="P11" s="11" t="str">
        <f>"000488"</f>
        <v>000488</v>
      </c>
      <c r="Q11" s="10">
        <v>42669</v>
      </c>
      <c r="R11" s="11">
        <v>16</v>
      </c>
      <c r="S11" s="11" t="str">
        <f>"002784"</f>
        <v>002784</v>
      </c>
      <c r="T11" s="10">
        <v>43271</v>
      </c>
      <c r="U11" s="14">
        <v>84.073809999999995</v>
      </c>
      <c r="V11" s="14">
        <v>5.9566299999999996</v>
      </c>
      <c r="W11" s="14">
        <v>78.117180000000005</v>
      </c>
      <c r="X11" s="11">
        <v>99</v>
      </c>
      <c r="Y11" s="10">
        <v>43274</v>
      </c>
      <c r="Z11" s="11">
        <v>9743188999</v>
      </c>
      <c r="AA11" s="12" t="s">
        <v>81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0.84073809999999993</v>
      </c>
      <c r="AG11" s="11" t="s">
        <v>46</v>
      </c>
    </row>
    <row r="12" spans="1:33" x14ac:dyDescent="0.2">
      <c r="A12" s="8">
        <v>2502</v>
      </c>
      <c r="B12" s="9" t="s">
        <v>60</v>
      </c>
      <c r="C12" s="10">
        <v>43274</v>
      </c>
      <c r="D12" s="11">
        <v>39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82</v>
      </c>
      <c r="J12" s="12" t="s">
        <v>83</v>
      </c>
      <c r="K12" s="13" t="s">
        <v>63</v>
      </c>
      <c r="L12" s="11" t="str">
        <f>"000017"</f>
        <v>000017</v>
      </c>
      <c r="M12" s="10">
        <v>42110</v>
      </c>
      <c r="N12" s="11" t="str">
        <f>"000083"</f>
        <v>000083</v>
      </c>
      <c r="O12" s="10">
        <v>42665</v>
      </c>
      <c r="P12" s="11" t="str">
        <f>"000490"</f>
        <v>000490</v>
      </c>
      <c r="Q12" s="10">
        <v>42669</v>
      </c>
      <c r="R12" s="11">
        <v>15</v>
      </c>
      <c r="S12" s="11" t="str">
        <f>"002790"</f>
        <v>002790</v>
      </c>
      <c r="T12" s="10">
        <v>43271</v>
      </c>
      <c r="U12" s="14">
        <v>22.733039999999999</v>
      </c>
      <c r="V12" s="14">
        <v>3.0495700000000001</v>
      </c>
      <c r="W12" s="14">
        <v>19.68347</v>
      </c>
      <c r="X12" s="11">
        <v>99</v>
      </c>
      <c r="Y12" s="10">
        <v>43274</v>
      </c>
      <c r="Z12" s="11">
        <v>9889219009</v>
      </c>
      <c r="AA12" s="12" t="s">
        <v>50</v>
      </c>
      <c r="AB12" s="11" t="s">
        <v>84</v>
      </c>
      <c r="AC12" s="12" t="s">
        <v>85</v>
      </c>
      <c r="AD12" s="11" t="s">
        <v>44</v>
      </c>
      <c r="AE12" s="12" t="s">
        <v>45</v>
      </c>
      <c r="AF12" s="14">
        <v>0.22733039999999999</v>
      </c>
      <c r="AG12" s="11" t="s">
        <v>46</v>
      </c>
    </row>
    <row r="13" spans="1:33" x14ac:dyDescent="0.2">
      <c r="A13" s="8">
        <v>2503</v>
      </c>
      <c r="B13" s="9" t="s">
        <v>60</v>
      </c>
      <c r="C13" s="10">
        <v>43274</v>
      </c>
      <c r="D13" s="11">
        <v>39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86</v>
      </c>
      <c r="J13" s="12" t="s">
        <v>87</v>
      </c>
      <c r="K13" s="13" t="s">
        <v>63</v>
      </c>
      <c r="L13" s="11" t="str">
        <f>"000018"</f>
        <v>000018</v>
      </c>
      <c r="M13" s="10">
        <v>42110</v>
      </c>
      <c r="N13" s="11" t="str">
        <f>"000084"</f>
        <v>000084</v>
      </c>
      <c r="O13" s="10">
        <v>42665</v>
      </c>
      <c r="P13" s="11" t="str">
        <f>"000491"</f>
        <v>000491</v>
      </c>
      <c r="Q13" s="10">
        <v>42669</v>
      </c>
      <c r="R13" s="11">
        <v>15</v>
      </c>
      <c r="S13" s="11" t="str">
        <f>"002792"</f>
        <v>002792</v>
      </c>
      <c r="T13" s="10">
        <v>43271</v>
      </c>
      <c r="U13" s="14">
        <v>23.447389999999999</v>
      </c>
      <c r="V13" s="14">
        <v>3.12303</v>
      </c>
      <c r="W13" s="14">
        <v>20.324359999999999</v>
      </c>
      <c r="X13" s="11">
        <v>99</v>
      </c>
      <c r="Y13" s="10">
        <v>43274</v>
      </c>
      <c r="Z13" s="11">
        <v>9889219009</v>
      </c>
      <c r="AA13" s="12" t="s">
        <v>50</v>
      </c>
      <c r="AB13" s="11" t="s">
        <v>84</v>
      </c>
      <c r="AC13" s="12" t="s">
        <v>85</v>
      </c>
      <c r="AD13" s="11" t="s">
        <v>44</v>
      </c>
      <c r="AE13" s="12" t="s">
        <v>45</v>
      </c>
      <c r="AF13" s="14">
        <v>0.23447389999999999</v>
      </c>
      <c r="AG13" s="11" t="s">
        <v>46</v>
      </c>
    </row>
    <row r="14" spans="1:33" x14ac:dyDescent="0.2">
      <c r="A14" s="8">
        <v>2504</v>
      </c>
      <c r="B14" s="9" t="s">
        <v>60</v>
      </c>
      <c r="C14" s="10">
        <v>43274</v>
      </c>
      <c r="D14" s="11">
        <v>39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88</v>
      </c>
      <c r="J14" s="12" t="s">
        <v>89</v>
      </c>
      <c r="K14" s="13" t="s">
        <v>63</v>
      </c>
      <c r="L14" s="11" t="str">
        <f>"000021"</f>
        <v>000021</v>
      </c>
      <c r="M14" s="10">
        <v>42110</v>
      </c>
      <c r="N14" s="11" t="str">
        <f>"000085"</f>
        <v>000085</v>
      </c>
      <c r="O14" s="10">
        <v>42665</v>
      </c>
      <c r="P14" s="11" t="str">
        <f>"000492"</f>
        <v>000492</v>
      </c>
      <c r="Q14" s="10">
        <v>42669</v>
      </c>
      <c r="R14" s="11">
        <v>15</v>
      </c>
      <c r="S14" s="11" t="str">
        <f>"002794"</f>
        <v>002794</v>
      </c>
      <c r="T14" s="10">
        <v>43271</v>
      </c>
      <c r="U14" s="14">
        <v>19.575140000000001</v>
      </c>
      <c r="V14" s="14">
        <v>2.6204700000000001</v>
      </c>
      <c r="W14" s="14">
        <v>16.95467</v>
      </c>
      <c r="X14" s="11">
        <v>99</v>
      </c>
      <c r="Y14" s="10">
        <v>43274</v>
      </c>
      <c r="Z14" s="11">
        <v>9889219009</v>
      </c>
      <c r="AA14" s="12" t="s">
        <v>50</v>
      </c>
      <c r="AB14" s="11" t="s">
        <v>84</v>
      </c>
      <c r="AC14" s="12" t="s">
        <v>85</v>
      </c>
      <c r="AD14" s="11" t="s">
        <v>44</v>
      </c>
      <c r="AE14" s="12" t="s">
        <v>45</v>
      </c>
      <c r="AF14" s="14">
        <v>0.19575140000000002</v>
      </c>
      <c r="AG14" s="11" t="s">
        <v>46</v>
      </c>
    </row>
    <row r="15" spans="1:33" x14ac:dyDescent="0.2">
      <c r="A15" s="8">
        <v>2505</v>
      </c>
      <c r="B15" s="9" t="s">
        <v>60</v>
      </c>
      <c r="C15" s="10">
        <v>43274</v>
      </c>
      <c r="D15" s="11">
        <v>39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90</v>
      </c>
      <c r="J15" s="12" t="s">
        <v>91</v>
      </c>
      <c r="K15" s="13" t="s">
        <v>40</v>
      </c>
      <c r="L15" s="11" t="str">
        <f>"000020"</f>
        <v>000020</v>
      </c>
      <c r="M15" s="10">
        <v>42110</v>
      </c>
      <c r="N15" s="11" t="str">
        <f>"000086"</f>
        <v>000086</v>
      </c>
      <c r="O15" s="10">
        <v>42665</v>
      </c>
      <c r="P15" s="11" t="str">
        <f>"000493"</f>
        <v>000493</v>
      </c>
      <c r="Q15" s="10">
        <v>42669</v>
      </c>
      <c r="R15" s="11">
        <v>15</v>
      </c>
      <c r="S15" s="11" t="str">
        <f>"002808"</f>
        <v>002808</v>
      </c>
      <c r="T15" s="10">
        <v>43271</v>
      </c>
      <c r="U15" s="14">
        <v>11.88866</v>
      </c>
      <c r="V15" s="14">
        <v>1.61687</v>
      </c>
      <c r="W15" s="14">
        <v>10.271789999999999</v>
      </c>
      <c r="X15" s="11">
        <v>99</v>
      </c>
      <c r="Y15" s="10">
        <v>43274</v>
      </c>
      <c r="Z15" s="11">
        <v>9889219009</v>
      </c>
      <c r="AA15" s="12" t="s">
        <v>50</v>
      </c>
      <c r="AB15" s="11" t="s">
        <v>84</v>
      </c>
      <c r="AC15" s="12" t="s">
        <v>85</v>
      </c>
      <c r="AD15" s="11" t="s">
        <v>44</v>
      </c>
      <c r="AE15" s="12" t="s">
        <v>45</v>
      </c>
      <c r="AF15" s="14">
        <v>0.1188866</v>
      </c>
      <c r="AG15" s="11" t="s">
        <v>46</v>
      </c>
    </row>
    <row r="16" spans="1:33" x14ac:dyDescent="0.2">
      <c r="A16" s="8">
        <v>2693</v>
      </c>
      <c r="B16" s="9" t="s">
        <v>60</v>
      </c>
      <c r="C16" s="10">
        <v>43278</v>
      </c>
      <c r="D16" s="11">
        <v>39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92</v>
      </c>
      <c r="J16" s="12" t="s">
        <v>93</v>
      </c>
      <c r="K16" s="13" t="s">
        <v>63</v>
      </c>
      <c r="L16" s="11" t="str">
        <f>"000019"</f>
        <v>000019</v>
      </c>
      <c r="M16" s="10">
        <v>42110</v>
      </c>
      <c r="N16" s="11" t="str">
        <f>"000082"</f>
        <v>000082</v>
      </c>
      <c r="O16" s="10">
        <v>42665</v>
      </c>
      <c r="P16" s="11" t="str">
        <f>"0000489"</f>
        <v>0000489</v>
      </c>
      <c r="Q16" s="10">
        <v>42669</v>
      </c>
      <c r="R16" s="11">
        <v>15</v>
      </c>
      <c r="S16" s="11" t="str">
        <f>"002898"</f>
        <v>002898</v>
      </c>
      <c r="T16" s="10">
        <v>43276</v>
      </c>
      <c r="U16" s="14">
        <v>20.75299</v>
      </c>
      <c r="V16" s="14">
        <v>2.7705199999999999</v>
      </c>
      <c r="W16" s="14">
        <v>17.982469999999999</v>
      </c>
      <c r="X16" s="11">
        <v>103</v>
      </c>
      <c r="Y16" s="10">
        <v>43278</v>
      </c>
      <c r="Z16" s="11">
        <v>9889219009</v>
      </c>
      <c r="AA16" s="12" t="s">
        <v>50</v>
      </c>
      <c r="AB16" s="11" t="s">
        <v>84</v>
      </c>
      <c r="AC16" s="12" t="s">
        <v>85</v>
      </c>
      <c r="AD16" s="11" t="s">
        <v>44</v>
      </c>
      <c r="AE16" s="12" t="s">
        <v>45</v>
      </c>
      <c r="AF16" s="14">
        <v>0.20752990000000002</v>
      </c>
      <c r="AG16" s="11" t="s">
        <v>46</v>
      </c>
    </row>
    <row r="17" spans="1:33" x14ac:dyDescent="0.2">
      <c r="A17" s="8">
        <v>3277</v>
      </c>
      <c r="B17" s="9" t="s">
        <v>94</v>
      </c>
      <c r="C17" s="10">
        <v>43297</v>
      </c>
      <c r="D17" s="11">
        <v>39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95</v>
      </c>
      <c r="J17" s="12" t="s">
        <v>96</v>
      </c>
      <c r="K17" s="13" t="s">
        <v>63</v>
      </c>
      <c r="L17" s="11" t="str">
        <f>"000047"</f>
        <v>000047</v>
      </c>
      <c r="M17" s="10">
        <v>42557</v>
      </c>
      <c r="N17" s="11" t="str">
        <f>"000001"</f>
        <v>000001</v>
      </c>
      <c r="O17" s="10">
        <v>42927</v>
      </c>
      <c r="P17" s="11" t="str">
        <f>""</f>
        <v/>
      </c>
      <c r="Q17" s="10"/>
      <c r="R17" s="11">
        <v>15</v>
      </c>
      <c r="S17" s="11" t="str">
        <f>""</f>
        <v/>
      </c>
      <c r="T17" s="10"/>
      <c r="U17" s="14">
        <v>19.766629999999999</v>
      </c>
      <c r="V17" s="14">
        <v>1.4333899999999999</v>
      </c>
      <c r="W17" s="14">
        <v>18.33324</v>
      </c>
      <c r="X17" s="11">
        <v>125</v>
      </c>
      <c r="Y17" s="10">
        <v>43297</v>
      </c>
      <c r="Z17" s="11">
        <v>9449219009</v>
      </c>
      <c r="AA17" s="12" t="s">
        <v>97</v>
      </c>
      <c r="AB17" s="11" t="s">
        <v>42</v>
      </c>
      <c r="AC17" s="12" t="s">
        <v>43</v>
      </c>
      <c r="AD17" s="11" t="s">
        <v>44</v>
      </c>
      <c r="AE17" s="12" t="s">
        <v>45</v>
      </c>
      <c r="AF17" s="14">
        <v>0.19766629999999999</v>
      </c>
      <c r="AG17" s="11" t="s">
        <v>46</v>
      </c>
    </row>
    <row r="18" spans="1:33" x14ac:dyDescent="0.2">
      <c r="A18" s="8">
        <v>3278</v>
      </c>
      <c r="B18" s="9" t="s">
        <v>94</v>
      </c>
      <c r="C18" s="10">
        <v>43297</v>
      </c>
      <c r="D18" s="11">
        <v>39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98</v>
      </c>
      <c r="J18" s="12" t="s">
        <v>99</v>
      </c>
      <c r="K18" s="13" t="s">
        <v>100</v>
      </c>
      <c r="L18" s="11" t="str">
        <f>"000080"</f>
        <v>000080</v>
      </c>
      <c r="M18" s="10">
        <v>42748</v>
      </c>
      <c r="N18" s="11" t="str">
        <f>"000121"</f>
        <v>000121</v>
      </c>
      <c r="O18" s="10">
        <v>42734</v>
      </c>
      <c r="P18" s="11" t="str">
        <f>"000554"</f>
        <v>000554</v>
      </c>
      <c r="Q18" s="10">
        <v>42734</v>
      </c>
      <c r="R18" s="11">
        <v>16</v>
      </c>
      <c r="S18" s="11" t="str">
        <f>"003701"</f>
        <v>003701</v>
      </c>
      <c r="T18" s="10">
        <v>43293</v>
      </c>
      <c r="U18" s="14">
        <v>19.778390000000002</v>
      </c>
      <c r="V18" s="14">
        <v>1.50315</v>
      </c>
      <c r="W18" s="14">
        <v>18.27524</v>
      </c>
      <c r="X18" s="11">
        <v>125</v>
      </c>
      <c r="Y18" s="10">
        <v>43297</v>
      </c>
      <c r="Z18" s="11">
        <v>9980187548</v>
      </c>
      <c r="AA18" s="12" t="s">
        <v>101</v>
      </c>
      <c r="AB18" s="11" t="s">
        <v>102</v>
      </c>
      <c r="AC18" s="12" t="s">
        <v>103</v>
      </c>
      <c r="AD18" s="11" t="s">
        <v>44</v>
      </c>
      <c r="AE18" s="12" t="s">
        <v>45</v>
      </c>
      <c r="AF18" s="14">
        <v>0.19778390000000001</v>
      </c>
      <c r="AG18" s="11" t="s">
        <v>46</v>
      </c>
    </row>
    <row r="19" spans="1:33" x14ac:dyDescent="0.2">
      <c r="A19" s="8">
        <v>3279</v>
      </c>
      <c r="B19" s="9" t="s">
        <v>94</v>
      </c>
      <c r="C19" s="10">
        <v>43297</v>
      </c>
      <c r="D19" s="11">
        <v>39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104</v>
      </c>
      <c r="J19" s="12" t="s">
        <v>105</v>
      </c>
      <c r="K19" s="13" t="s">
        <v>100</v>
      </c>
      <c r="L19" s="11" t="str">
        <f>"000081"</f>
        <v>000081</v>
      </c>
      <c r="M19" s="10">
        <v>42700</v>
      </c>
      <c r="N19" s="11" t="str">
        <f>"000122"</f>
        <v>000122</v>
      </c>
      <c r="O19" s="10">
        <v>42734</v>
      </c>
      <c r="P19" s="11" t="str">
        <f>"000555"</f>
        <v>000555</v>
      </c>
      <c r="Q19" s="10">
        <v>42734</v>
      </c>
      <c r="R19" s="11">
        <v>16</v>
      </c>
      <c r="S19" s="11" t="str">
        <f>"003702"</f>
        <v>003702</v>
      </c>
      <c r="T19" s="10">
        <v>43293</v>
      </c>
      <c r="U19" s="14">
        <v>29.70149</v>
      </c>
      <c r="V19" s="14">
        <v>2.2117599999999999</v>
      </c>
      <c r="W19" s="14">
        <v>27.489730000000002</v>
      </c>
      <c r="X19" s="11">
        <v>125</v>
      </c>
      <c r="Y19" s="10">
        <v>43297</v>
      </c>
      <c r="Z19" s="11">
        <v>9980187548</v>
      </c>
      <c r="AA19" s="12" t="s">
        <v>106</v>
      </c>
      <c r="AB19" s="11" t="s">
        <v>102</v>
      </c>
      <c r="AC19" s="12" t="s">
        <v>103</v>
      </c>
      <c r="AD19" s="11" t="s">
        <v>44</v>
      </c>
      <c r="AE19" s="12" t="s">
        <v>45</v>
      </c>
      <c r="AF19" s="14">
        <v>0.29701489999999997</v>
      </c>
      <c r="AG19" s="11" t="s">
        <v>46</v>
      </c>
    </row>
    <row r="20" spans="1:33" x14ac:dyDescent="0.2">
      <c r="A20" s="8">
        <v>3466</v>
      </c>
      <c r="B20" s="9" t="s">
        <v>94</v>
      </c>
      <c r="C20" s="10">
        <v>43299</v>
      </c>
      <c r="D20" s="11">
        <v>39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107</v>
      </c>
      <c r="J20" s="12" t="s">
        <v>108</v>
      </c>
      <c r="K20" s="13" t="s">
        <v>67</v>
      </c>
      <c r="L20" s="11" t="str">
        <f>"0012"</f>
        <v>0012</v>
      </c>
      <c r="M20" s="10" t="s">
        <v>109</v>
      </c>
      <c r="N20" s="11" t="str">
        <f>"000015"</f>
        <v>000015</v>
      </c>
      <c r="O20" s="10">
        <v>43105</v>
      </c>
      <c r="P20" s="11" t="str">
        <f>"000014"</f>
        <v>000014</v>
      </c>
      <c r="Q20" s="10">
        <v>43105</v>
      </c>
      <c r="R20" s="11">
        <v>16</v>
      </c>
      <c r="S20" s="11" t="str">
        <f>"003742"</f>
        <v>003742</v>
      </c>
      <c r="T20" s="10">
        <v>43294</v>
      </c>
      <c r="U20" s="14">
        <v>5.0974000000000004</v>
      </c>
      <c r="V20" s="14">
        <v>0.51287000000000005</v>
      </c>
      <c r="W20" s="14">
        <v>4.58453</v>
      </c>
      <c r="X20" s="11">
        <v>127</v>
      </c>
      <c r="Y20" s="10">
        <v>43299</v>
      </c>
      <c r="Z20" s="11">
        <v>9448370460</v>
      </c>
      <c r="AA20" s="12" t="s">
        <v>110</v>
      </c>
      <c r="AB20" s="11" t="s">
        <v>111</v>
      </c>
      <c r="AC20" s="12" t="s">
        <v>112</v>
      </c>
      <c r="AD20" s="11" t="s">
        <v>113</v>
      </c>
      <c r="AE20" s="12" t="s">
        <v>114</v>
      </c>
      <c r="AF20" s="14">
        <v>5.0974000000000005E-2</v>
      </c>
      <c r="AG20" s="11" t="s">
        <v>46</v>
      </c>
    </row>
    <row r="21" spans="1:33" x14ac:dyDescent="0.2">
      <c r="A21" s="8">
        <v>3467</v>
      </c>
      <c r="B21" s="9" t="s">
        <v>94</v>
      </c>
      <c r="C21" s="10">
        <v>43299</v>
      </c>
      <c r="D21" s="11">
        <v>39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107</v>
      </c>
      <c r="J21" s="12" t="s">
        <v>108</v>
      </c>
      <c r="K21" s="13" t="s">
        <v>67</v>
      </c>
      <c r="L21" s="11" t="str">
        <f>"0012"</f>
        <v>0012</v>
      </c>
      <c r="M21" s="10" t="s">
        <v>109</v>
      </c>
      <c r="N21" s="11" t="str">
        <f>"000015"</f>
        <v>000015</v>
      </c>
      <c r="O21" s="10">
        <v>43105</v>
      </c>
      <c r="P21" s="11" t="str">
        <f>"000014"</f>
        <v>000014</v>
      </c>
      <c r="Q21" s="10">
        <v>43105</v>
      </c>
      <c r="R21" s="11">
        <v>16</v>
      </c>
      <c r="S21" s="11" t="str">
        <f>"003742"</f>
        <v>003742</v>
      </c>
      <c r="T21" s="10">
        <v>43294</v>
      </c>
      <c r="U21" s="14">
        <v>6.3717600000000001</v>
      </c>
      <c r="V21" s="14">
        <v>0.39256000000000002</v>
      </c>
      <c r="W21" s="14">
        <v>5.9791999999999996</v>
      </c>
      <c r="X21" s="11">
        <v>127</v>
      </c>
      <c r="Y21" s="10">
        <v>43299</v>
      </c>
      <c r="Z21" s="11">
        <v>9448370460</v>
      </c>
      <c r="AA21" s="12" t="s">
        <v>110</v>
      </c>
      <c r="AB21" s="11" t="s">
        <v>111</v>
      </c>
      <c r="AC21" s="12" t="s">
        <v>112</v>
      </c>
      <c r="AD21" s="11" t="s">
        <v>113</v>
      </c>
      <c r="AE21" s="12" t="s">
        <v>114</v>
      </c>
      <c r="AF21" s="14">
        <v>6.3717599999999999E-2</v>
      </c>
      <c r="AG21" s="11" t="s">
        <v>46</v>
      </c>
    </row>
    <row r="22" spans="1:33" x14ac:dyDescent="0.2">
      <c r="A22" s="8">
        <v>4407</v>
      </c>
      <c r="B22" s="9" t="s">
        <v>115</v>
      </c>
      <c r="C22" s="10">
        <v>43318</v>
      </c>
      <c r="D22" s="11">
        <v>39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116</v>
      </c>
      <c r="J22" s="12" t="s">
        <v>117</v>
      </c>
      <c r="K22" s="13" t="s">
        <v>63</v>
      </c>
      <c r="L22" s="11" t="str">
        <f>"00o388"</f>
        <v>00o388</v>
      </c>
      <c r="M22" s="10">
        <v>42094</v>
      </c>
      <c r="N22" s="11" t="str">
        <f>"000098"</f>
        <v>000098</v>
      </c>
      <c r="O22" s="10">
        <v>42665</v>
      </c>
      <c r="P22" s="11" t="str">
        <f>"000502"</f>
        <v>000502</v>
      </c>
      <c r="Q22" s="10">
        <v>42671</v>
      </c>
      <c r="R22" s="11">
        <v>14</v>
      </c>
      <c r="S22" s="11" t="str">
        <f>"004680"</f>
        <v>004680</v>
      </c>
      <c r="T22" s="10">
        <v>43313</v>
      </c>
      <c r="U22" s="14">
        <v>21.960519999999999</v>
      </c>
      <c r="V22" s="14">
        <v>1.5945100000000001</v>
      </c>
      <c r="W22" s="14">
        <v>20.366009999999999</v>
      </c>
      <c r="X22" s="11">
        <v>159</v>
      </c>
      <c r="Y22" s="10">
        <v>43318</v>
      </c>
      <c r="Z22" s="11">
        <v>8884965645</v>
      </c>
      <c r="AA22" s="12" t="s">
        <v>118</v>
      </c>
      <c r="AB22" s="11" t="s">
        <v>42</v>
      </c>
      <c r="AC22" s="12" t="s">
        <v>43</v>
      </c>
      <c r="AD22" s="11" t="s">
        <v>44</v>
      </c>
      <c r="AE22" s="12" t="s">
        <v>45</v>
      </c>
      <c r="AF22" s="14">
        <v>0.2196052</v>
      </c>
      <c r="AG22" s="11" t="s">
        <v>46</v>
      </c>
    </row>
    <row r="23" spans="1:33" x14ac:dyDescent="0.2">
      <c r="A23" s="8">
        <v>4408</v>
      </c>
      <c r="B23" s="9" t="s">
        <v>115</v>
      </c>
      <c r="C23" s="10">
        <v>43318</v>
      </c>
      <c r="D23" s="11">
        <v>39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119</v>
      </c>
      <c r="J23" s="12" t="s">
        <v>120</v>
      </c>
      <c r="K23" s="13" t="s">
        <v>63</v>
      </c>
      <c r="L23" s="11" t="str">
        <f>"000088"</f>
        <v>000088</v>
      </c>
      <c r="M23" s="10">
        <v>42710</v>
      </c>
      <c r="N23" s="11" t="str">
        <f>"000132"</f>
        <v>000132</v>
      </c>
      <c r="O23" s="10">
        <v>42781</v>
      </c>
      <c r="P23" s="11" t="str">
        <f>"000631"</f>
        <v>000631</v>
      </c>
      <c r="Q23" s="10">
        <v>42794</v>
      </c>
      <c r="R23" s="11">
        <v>16</v>
      </c>
      <c r="S23" s="11" t="str">
        <f>"004724"</f>
        <v>004724</v>
      </c>
      <c r="T23" s="10">
        <v>43314</v>
      </c>
      <c r="U23" s="14">
        <v>18.267060000000001</v>
      </c>
      <c r="V23" s="14">
        <v>1.3033699999999999</v>
      </c>
      <c r="W23" s="14">
        <v>16.96369</v>
      </c>
      <c r="X23" s="11">
        <v>159</v>
      </c>
      <c r="Y23" s="10">
        <v>43318</v>
      </c>
      <c r="Z23" s="11">
        <v>9845736688</v>
      </c>
      <c r="AA23" s="12" t="s">
        <v>121</v>
      </c>
      <c r="AB23" s="11" t="s">
        <v>102</v>
      </c>
      <c r="AC23" s="12" t="s">
        <v>103</v>
      </c>
      <c r="AD23" s="11" t="s">
        <v>44</v>
      </c>
      <c r="AE23" s="12" t="s">
        <v>45</v>
      </c>
      <c r="AF23" s="14">
        <v>0.18267060000000002</v>
      </c>
      <c r="AG23" s="11" t="s">
        <v>46</v>
      </c>
    </row>
    <row r="24" spans="1:33" x14ac:dyDescent="0.2">
      <c r="A24" s="8">
        <v>4409</v>
      </c>
      <c r="B24" s="9" t="s">
        <v>115</v>
      </c>
      <c r="C24" s="10">
        <v>43318</v>
      </c>
      <c r="D24" s="11">
        <v>39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122</v>
      </c>
      <c r="J24" s="12" t="s">
        <v>123</v>
      </c>
      <c r="K24" s="13" t="s">
        <v>63</v>
      </c>
      <c r="L24" s="11" t="str">
        <f>"000087"</f>
        <v>000087</v>
      </c>
      <c r="M24" s="10">
        <v>42710</v>
      </c>
      <c r="N24" s="11" t="str">
        <f>"000133"</f>
        <v>000133</v>
      </c>
      <c r="O24" s="10">
        <v>42781</v>
      </c>
      <c r="P24" s="11" t="str">
        <f>"000632"</f>
        <v>000632</v>
      </c>
      <c r="Q24" s="10">
        <v>42794</v>
      </c>
      <c r="R24" s="11">
        <v>16</v>
      </c>
      <c r="S24" s="11" t="str">
        <f>"004725"</f>
        <v>004725</v>
      </c>
      <c r="T24" s="10">
        <v>43314</v>
      </c>
      <c r="U24" s="14">
        <v>18.266390000000001</v>
      </c>
      <c r="V24" s="14">
        <v>1.30731</v>
      </c>
      <c r="W24" s="14">
        <v>16.95908</v>
      </c>
      <c r="X24" s="11">
        <v>159</v>
      </c>
      <c r="Y24" s="10">
        <v>43318</v>
      </c>
      <c r="Z24" s="11">
        <v>9845736688</v>
      </c>
      <c r="AA24" s="12" t="s">
        <v>121</v>
      </c>
      <c r="AB24" s="11" t="s">
        <v>102</v>
      </c>
      <c r="AC24" s="12" t="s">
        <v>103</v>
      </c>
      <c r="AD24" s="11" t="s">
        <v>44</v>
      </c>
      <c r="AE24" s="12" t="s">
        <v>45</v>
      </c>
      <c r="AF24" s="14">
        <v>0.18266390000000002</v>
      </c>
      <c r="AG24" s="11" t="s">
        <v>46</v>
      </c>
    </row>
    <row r="25" spans="1:33" x14ac:dyDescent="0.2">
      <c r="A25" s="8">
        <v>5454</v>
      </c>
      <c r="B25" s="9" t="s">
        <v>124</v>
      </c>
      <c r="C25" s="10">
        <v>43357</v>
      </c>
      <c r="D25" s="11">
        <v>39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125</v>
      </c>
      <c r="J25" s="12" t="s">
        <v>126</v>
      </c>
      <c r="K25" s="13" t="s">
        <v>55</v>
      </c>
      <c r="L25" s="11" t="str">
        <f>"000039"</f>
        <v>000039</v>
      </c>
      <c r="M25" s="10">
        <v>42982</v>
      </c>
      <c r="N25" s="11" t="str">
        <f>"000012"</f>
        <v>000012</v>
      </c>
      <c r="O25" s="10">
        <v>43019</v>
      </c>
      <c r="P25" s="11" t="str">
        <f>"000035"</f>
        <v>000035</v>
      </c>
      <c r="Q25" s="10">
        <v>43019</v>
      </c>
      <c r="R25" s="11">
        <v>18</v>
      </c>
      <c r="S25" s="11" t="str">
        <f>"005682"</f>
        <v>005682</v>
      </c>
      <c r="T25" s="10">
        <v>43350</v>
      </c>
      <c r="U25" s="14">
        <v>39.953919999999997</v>
      </c>
      <c r="V25" s="14">
        <v>3.2467700000000002</v>
      </c>
      <c r="W25" s="14">
        <v>36.707149999999999</v>
      </c>
      <c r="X25" s="11">
        <v>204</v>
      </c>
      <c r="Y25" s="10">
        <v>43357</v>
      </c>
      <c r="Z25" s="11">
        <v>9901908019</v>
      </c>
      <c r="AA25" s="12" t="s">
        <v>50</v>
      </c>
      <c r="AB25" s="11" t="s">
        <v>127</v>
      </c>
      <c r="AC25" s="12" t="s">
        <v>128</v>
      </c>
      <c r="AD25" s="11" t="s">
        <v>44</v>
      </c>
      <c r="AE25" s="12" t="s">
        <v>45</v>
      </c>
      <c r="AF25" s="14">
        <f t="shared" ref="AF25:AF42" si="0">U25/100</f>
        <v>0.39953919999999998</v>
      </c>
      <c r="AG25" s="11" t="s">
        <v>46</v>
      </c>
    </row>
    <row r="26" spans="1:33" x14ac:dyDescent="0.2">
      <c r="A26" s="8">
        <v>5455</v>
      </c>
      <c r="B26" s="9" t="s">
        <v>124</v>
      </c>
      <c r="C26" s="10">
        <v>43357</v>
      </c>
      <c r="D26" s="11">
        <v>39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129</v>
      </c>
      <c r="J26" s="12" t="s">
        <v>130</v>
      </c>
      <c r="K26" s="13" t="s">
        <v>55</v>
      </c>
      <c r="L26" s="11" t="str">
        <f>"000007"</f>
        <v>000007</v>
      </c>
      <c r="M26" s="10">
        <v>42954</v>
      </c>
      <c r="N26" s="11" t="str">
        <f>"000013"</f>
        <v>000013</v>
      </c>
      <c r="O26" s="10">
        <v>43038</v>
      </c>
      <c r="P26" s="11" t="str">
        <f>"000056"</f>
        <v>000056</v>
      </c>
      <c r="Q26" s="10">
        <v>43060</v>
      </c>
      <c r="R26" s="11">
        <v>17</v>
      </c>
      <c r="S26" s="11" t="str">
        <f>"005685"</f>
        <v>005685</v>
      </c>
      <c r="T26" s="10">
        <v>43350</v>
      </c>
      <c r="U26" s="14">
        <v>39.745579999999997</v>
      </c>
      <c r="V26" s="14">
        <v>3.2193999999999998</v>
      </c>
      <c r="W26" s="14">
        <v>36.526179999999997</v>
      </c>
      <c r="X26" s="11">
        <v>204</v>
      </c>
      <c r="Y26" s="10">
        <v>43357</v>
      </c>
      <c r="Z26" s="11">
        <v>9980806791</v>
      </c>
      <c r="AA26" s="12" t="s">
        <v>50</v>
      </c>
      <c r="AB26" s="11" t="s">
        <v>127</v>
      </c>
      <c r="AC26" s="12" t="s">
        <v>128</v>
      </c>
      <c r="AD26" s="11" t="s">
        <v>44</v>
      </c>
      <c r="AE26" s="12" t="s">
        <v>45</v>
      </c>
      <c r="AF26" s="14">
        <f t="shared" si="0"/>
        <v>0.39745579999999997</v>
      </c>
      <c r="AG26" s="11" t="s">
        <v>46</v>
      </c>
    </row>
    <row r="27" spans="1:33" x14ac:dyDescent="0.2">
      <c r="A27" s="8">
        <v>5622</v>
      </c>
      <c r="B27" s="9" t="s">
        <v>124</v>
      </c>
      <c r="C27" s="10">
        <v>43370</v>
      </c>
      <c r="D27" s="11">
        <v>39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131</v>
      </c>
      <c r="J27" s="12" t="s">
        <v>132</v>
      </c>
      <c r="K27" s="13" t="s">
        <v>133</v>
      </c>
      <c r="L27" s="11" t="str">
        <f>"0013"</f>
        <v>0013</v>
      </c>
      <c r="M27" s="10" t="s">
        <v>109</v>
      </c>
      <c r="N27" s="11" t="str">
        <f>"000011"</f>
        <v>000011</v>
      </c>
      <c r="O27" s="10">
        <v>42910</v>
      </c>
      <c r="P27" s="11" t="str">
        <f>"000012"</f>
        <v>000012</v>
      </c>
      <c r="Q27" s="10">
        <v>42916</v>
      </c>
      <c r="R27" s="11">
        <v>15</v>
      </c>
      <c r="S27" s="11" t="str">
        <f>"005815"</f>
        <v>005815</v>
      </c>
      <c r="T27" s="10">
        <v>43362</v>
      </c>
      <c r="U27" s="14">
        <v>43.902360000000002</v>
      </c>
      <c r="V27" s="14">
        <v>2.6781100000000002</v>
      </c>
      <c r="W27" s="14">
        <v>41.224249999999998</v>
      </c>
      <c r="X27" s="11">
        <v>219</v>
      </c>
      <c r="Y27" s="10">
        <v>43370</v>
      </c>
      <c r="Z27" s="11">
        <v>9448510301</v>
      </c>
      <c r="AA27" s="12" t="s">
        <v>134</v>
      </c>
      <c r="AB27" s="11" t="s">
        <v>135</v>
      </c>
      <c r="AC27" s="12" t="s">
        <v>136</v>
      </c>
      <c r="AD27" s="11" t="s">
        <v>113</v>
      </c>
      <c r="AE27" s="12" t="s">
        <v>114</v>
      </c>
      <c r="AF27" s="14">
        <f t="shared" si="0"/>
        <v>0.43902360000000001</v>
      </c>
      <c r="AG27" s="11" t="s">
        <v>46</v>
      </c>
    </row>
    <row r="28" spans="1:33" x14ac:dyDescent="0.2">
      <c r="A28" s="8">
        <v>5796</v>
      </c>
      <c r="B28" s="9" t="s">
        <v>137</v>
      </c>
      <c r="C28" s="10">
        <v>43377</v>
      </c>
      <c r="D28" s="11">
        <v>39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138</v>
      </c>
      <c r="J28" s="12" t="s">
        <v>139</v>
      </c>
      <c r="K28" s="13" t="s">
        <v>67</v>
      </c>
      <c r="L28" s="11" t="str">
        <f>"000139"</f>
        <v>000139</v>
      </c>
      <c r="M28" s="10">
        <v>43088</v>
      </c>
      <c r="N28" s="11" t="str">
        <f>"000016"</f>
        <v>000016</v>
      </c>
      <c r="O28" s="10">
        <v>43320</v>
      </c>
      <c r="P28" s="11" t="str">
        <f>"000158"</f>
        <v>000158</v>
      </c>
      <c r="Q28" s="10">
        <v>43321</v>
      </c>
      <c r="R28" s="11">
        <v>17</v>
      </c>
      <c r="S28" s="11" t="str">
        <f>"006115"</f>
        <v>006115</v>
      </c>
      <c r="T28" s="10">
        <v>43376</v>
      </c>
      <c r="U28" s="14">
        <v>10.919420000000001</v>
      </c>
      <c r="V28" s="14">
        <v>0.2293</v>
      </c>
      <c r="W28" s="14">
        <v>10.69012</v>
      </c>
      <c r="X28" s="11">
        <v>220</v>
      </c>
      <c r="Y28" s="10">
        <v>43377</v>
      </c>
      <c r="Z28" s="11">
        <v>9036033962</v>
      </c>
      <c r="AA28" s="12" t="s">
        <v>140</v>
      </c>
      <c r="AB28" s="11" t="s">
        <v>51</v>
      </c>
      <c r="AC28" s="12" t="s">
        <v>52</v>
      </c>
      <c r="AD28" s="11" t="s">
        <v>44</v>
      </c>
      <c r="AE28" s="12" t="s">
        <v>45</v>
      </c>
      <c r="AF28" s="14">
        <f t="shared" si="0"/>
        <v>0.10919420000000001</v>
      </c>
      <c r="AG28" s="11" t="s">
        <v>141</v>
      </c>
    </row>
    <row r="29" spans="1:33" x14ac:dyDescent="0.2">
      <c r="A29" s="8">
        <v>5797</v>
      </c>
      <c r="B29" s="9" t="s">
        <v>137</v>
      </c>
      <c r="C29" s="10">
        <v>43377</v>
      </c>
      <c r="D29" s="11">
        <v>39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138</v>
      </c>
      <c r="J29" s="12" t="s">
        <v>139</v>
      </c>
      <c r="K29" s="13" t="s">
        <v>67</v>
      </c>
      <c r="L29" s="11" t="str">
        <f>"000139"</f>
        <v>000139</v>
      </c>
      <c r="M29" s="10">
        <v>43088</v>
      </c>
      <c r="N29" s="11" t="str">
        <f>"000016"</f>
        <v>000016</v>
      </c>
      <c r="O29" s="10">
        <v>43320</v>
      </c>
      <c r="P29" s="11" t="str">
        <f>"000158"</f>
        <v>000158</v>
      </c>
      <c r="Q29" s="10">
        <v>43321</v>
      </c>
      <c r="R29" s="11">
        <v>17</v>
      </c>
      <c r="S29" s="11" t="str">
        <f>"006115"</f>
        <v>006115</v>
      </c>
      <c r="T29" s="10">
        <v>43376</v>
      </c>
      <c r="U29" s="14">
        <v>10.919420000000001</v>
      </c>
      <c r="V29" s="14">
        <v>0.2293</v>
      </c>
      <c r="W29" s="14">
        <v>10.69012</v>
      </c>
      <c r="X29" s="11">
        <v>220</v>
      </c>
      <c r="Y29" s="10">
        <v>43377</v>
      </c>
      <c r="Z29" s="11">
        <v>9036033962</v>
      </c>
      <c r="AA29" s="12" t="s">
        <v>140</v>
      </c>
      <c r="AB29" s="11" t="s">
        <v>51</v>
      </c>
      <c r="AC29" s="12" t="s">
        <v>52</v>
      </c>
      <c r="AD29" s="11" t="s">
        <v>44</v>
      </c>
      <c r="AE29" s="12" t="s">
        <v>45</v>
      </c>
      <c r="AF29" s="14">
        <f t="shared" si="0"/>
        <v>0.10919420000000001</v>
      </c>
      <c r="AG29" s="11" t="s">
        <v>141</v>
      </c>
    </row>
    <row r="30" spans="1:33" x14ac:dyDescent="0.2">
      <c r="A30" s="8">
        <v>5876</v>
      </c>
      <c r="B30" s="9" t="s">
        <v>137</v>
      </c>
      <c r="C30" s="10">
        <v>43383</v>
      </c>
      <c r="D30" s="11">
        <v>39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142</v>
      </c>
      <c r="J30" s="12" t="s">
        <v>143</v>
      </c>
      <c r="K30" s="13" t="s">
        <v>67</v>
      </c>
      <c r="L30" s="11" t="str">
        <f>"00o370"</f>
        <v>00o370</v>
      </c>
      <c r="M30" s="10">
        <v>42094</v>
      </c>
      <c r="N30" s="11" t="str">
        <f>"000099"</f>
        <v>000099</v>
      </c>
      <c r="O30" s="10">
        <v>42665</v>
      </c>
      <c r="P30" s="11" t="str">
        <f>"000503"</f>
        <v>000503</v>
      </c>
      <c r="Q30" s="10">
        <v>42671</v>
      </c>
      <c r="R30" s="11">
        <v>14</v>
      </c>
      <c r="S30" s="11" t="str">
        <f>"006201"</f>
        <v>006201</v>
      </c>
      <c r="T30" s="10">
        <v>43379</v>
      </c>
      <c r="U30" s="14">
        <v>16.496639999999999</v>
      </c>
      <c r="V30" s="14">
        <v>1.1912799999999999</v>
      </c>
      <c r="W30" s="14">
        <v>15.30536</v>
      </c>
      <c r="X30" s="11">
        <v>225</v>
      </c>
      <c r="Y30" s="10">
        <v>43383</v>
      </c>
      <c r="Z30" s="11">
        <v>8884965645</v>
      </c>
      <c r="AA30" s="12" t="s">
        <v>144</v>
      </c>
      <c r="AB30" s="11" t="s">
        <v>145</v>
      </c>
      <c r="AC30" s="12" t="s">
        <v>146</v>
      </c>
      <c r="AD30" s="11" t="s">
        <v>44</v>
      </c>
      <c r="AE30" s="12" t="s">
        <v>45</v>
      </c>
      <c r="AF30" s="14">
        <f t="shared" si="0"/>
        <v>0.16496639999999999</v>
      </c>
      <c r="AG30" s="11" t="s">
        <v>46</v>
      </c>
    </row>
    <row r="31" spans="1:33" x14ac:dyDescent="0.2">
      <c r="A31" s="8">
        <v>5877</v>
      </c>
      <c r="B31" s="9" t="s">
        <v>137</v>
      </c>
      <c r="C31" s="10">
        <v>43383</v>
      </c>
      <c r="D31" s="11">
        <v>39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142</v>
      </c>
      <c r="J31" s="12" t="s">
        <v>143</v>
      </c>
      <c r="K31" s="13" t="s">
        <v>67</v>
      </c>
      <c r="L31" s="11" t="str">
        <f>"00o370"</f>
        <v>00o370</v>
      </c>
      <c r="M31" s="10">
        <v>42094</v>
      </c>
      <c r="N31" s="11" t="str">
        <f>"000099"</f>
        <v>000099</v>
      </c>
      <c r="O31" s="10">
        <v>42665</v>
      </c>
      <c r="P31" s="11" t="str">
        <f>"000503"</f>
        <v>000503</v>
      </c>
      <c r="Q31" s="10">
        <v>42671</v>
      </c>
      <c r="R31" s="11">
        <v>14</v>
      </c>
      <c r="S31" s="11" t="str">
        <f>"006201"</f>
        <v>006201</v>
      </c>
      <c r="T31" s="10">
        <v>43379</v>
      </c>
      <c r="U31" s="14">
        <v>16.496639999999999</v>
      </c>
      <c r="V31" s="14">
        <v>1.1912799999999999</v>
      </c>
      <c r="W31" s="14">
        <v>15.30536</v>
      </c>
      <c r="X31" s="11">
        <v>225</v>
      </c>
      <c r="Y31" s="10">
        <v>43383</v>
      </c>
      <c r="Z31" s="11">
        <v>8884965645</v>
      </c>
      <c r="AA31" s="12" t="s">
        <v>144</v>
      </c>
      <c r="AB31" s="11" t="s">
        <v>145</v>
      </c>
      <c r="AC31" s="12" t="s">
        <v>146</v>
      </c>
      <c r="AD31" s="11" t="s">
        <v>44</v>
      </c>
      <c r="AE31" s="12" t="s">
        <v>45</v>
      </c>
      <c r="AF31" s="14">
        <f t="shared" si="0"/>
        <v>0.16496639999999999</v>
      </c>
      <c r="AG31" s="11" t="s">
        <v>46</v>
      </c>
    </row>
    <row r="32" spans="1:33" x14ac:dyDescent="0.2">
      <c r="A32" s="8">
        <v>6516</v>
      </c>
      <c r="B32" s="9" t="s">
        <v>137</v>
      </c>
      <c r="C32" s="10">
        <v>43389</v>
      </c>
      <c r="D32" s="11">
        <v>39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147</v>
      </c>
      <c r="J32" s="12" t="s">
        <v>148</v>
      </c>
      <c r="K32" s="13" t="s">
        <v>67</v>
      </c>
      <c r="L32" s="11" t="str">
        <f>"000050"</f>
        <v>000050</v>
      </c>
      <c r="M32" s="10">
        <v>42453</v>
      </c>
      <c r="N32" s="11" t="str">
        <f>"000003"</f>
        <v>000003</v>
      </c>
      <c r="O32" s="10">
        <v>42845</v>
      </c>
      <c r="P32" s="11" t="str">
        <f>"000041"</f>
        <v>000041</v>
      </c>
      <c r="Q32" s="10">
        <v>42857</v>
      </c>
      <c r="R32" s="11">
        <v>16</v>
      </c>
      <c r="S32" s="11" t="str">
        <f>"006560"</f>
        <v>006560</v>
      </c>
      <c r="T32" s="10">
        <v>43383</v>
      </c>
      <c r="U32" s="14">
        <v>4.8085599999999999</v>
      </c>
      <c r="V32" s="14">
        <v>0.36832999999999999</v>
      </c>
      <c r="W32" s="14">
        <v>4.4402299999999997</v>
      </c>
      <c r="X32" s="11">
        <v>243</v>
      </c>
      <c r="Y32" s="10">
        <v>43389</v>
      </c>
      <c r="Z32" s="11">
        <v>9980485938</v>
      </c>
      <c r="AA32" s="12" t="s">
        <v>149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f t="shared" si="0"/>
        <v>4.8085599999999999E-2</v>
      </c>
      <c r="AG32" s="11" t="s">
        <v>46</v>
      </c>
    </row>
    <row r="33" spans="1:33" x14ac:dyDescent="0.2">
      <c r="A33" s="8">
        <v>7426</v>
      </c>
      <c r="B33" s="9" t="s">
        <v>150</v>
      </c>
      <c r="C33" s="10">
        <v>43432</v>
      </c>
      <c r="D33" s="11">
        <v>39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151</v>
      </c>
      <c r="J33" s="12" t="s">
        <v>152</v>
      </c>
      <c r="K33" s="13" t="s">
        <v>67</v>
      </c>
      <c r="L33" s="11" t="str">
        <f>"000030"</f>
        <v>000030</v>
      </c>
      <c r="M33" s="10">
        <v>43371</v>
      </c>
      <c r="N33" s="11" t="str">
        <f>"000027"</f>
        <v>000027</v>
      </c>
      <c r="O33" s="10">
        <v>43420</v>
      </c>
      <c r="P33" s="11" t="str">
        <f>"000025"</f>
        <v>000025</v>
      </c>
      <c r="Q33" s="10">
        <v>43420</v>
      </c>
      <c r="R33" s="11">
        <v>19</v>
      </c>
      <c r="S33" s="11" t="str">
        <f>"007628"</f>
        <v>007628</v>
      </c>
      <c r="T33" s="10">
        <v>43432</v>
      </c>
      <c r="U33" s="14">
        <v>68.333870000000005</v>
      </c>
      <c r="V33" s="14">
        <v>6.7553099999999997</v>
      </c>
      <c r="W33" s="14">
        <v>61.578560000000003</v>
      </c>
      <c r="X33" s="11">
        <v>277</v>
      </c>
      <c r="Y33" s="10">
        <v>43432</v>
      </c>
      <c r="Z33" s="11">
        <v>9986313631</v>
      </c>
      <c r="AA33" s="12" t="s">
        <v>153</v>
      </c>
      <c r="AB33" s="11" t="s">
        <v>154</v>
      </c>
      <c r="AC33" s="12" t="s">
        <v>155</v>
      </c>
      <c r="AD33" s="11" t="s">
        <v>113</v>
      </c>
      <c r="AE33" s="12" t="s">
        <v>114</v>
      </c>
      <c r="AF33" s="14">
        <f t="shared" si="0"/>
        <v>0.68333870000000008</v>
      </c>
      <c r="AG33" s="11" t="s">
        <v>156</v>
      </c>
    </row>
    <row r="34" spans="1:33" x14ac:dyDescent="0.2">
      <c r="A34" s="8">
        <v>7834</v>
      </c>
      <c r="B34" s="9" t="s">
        <v>157</v>
      </c>
      <c r="C34" s="10">
        <v>43451</v>
      </c>
      <c r="D34" s="11">
        <v>39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158</v>
      </c>
      <c r="J34" s="12" t="s">
        <v>159</v>
      </c>
      <c r="K34" s="13" t="s">
        <v>67</v>
      </c>
      <c r="L34" s="11" t="str">
        <f>"000027"</f>
        <v>000027</v>
      </c>
      <c r="M34" s="10">
        <v>43346</v>
      </c>
      <c r="N34" s="11" t="str">
        <f>"000028"</f>
        <v>000028</v>
      </c>
      <c r="O34" s="10">
        <v>43420</v>
      </c>
      <c r="P34" s="11" t="str">
        <f>"000026"</f>
        <v>000026</v>
      </c>
      <c r="Q34" s="10">
        <v>43420</v>
      </c>
      <c r="R34" s="11">
        <v>19</v>
      </c>
      <c r="S34" s="11" t="str">
        <f>"008023"</f>
        <v>008023</v>
      </c>
      <c r="T34" s="10">
        <v>43449</v>
      </c>
      <c r="U34" s="14">
        <v>27.034459999999999</v>
      </c>
      <c r="V34" s="14">
        <v>2.6854499999999999</v>
      </c>
      <c r="W34" s="14">
        <v>24.34901</v>
      </c>
      <c r="X34" s="11">
        <v>294</v>
      </c>
      <c r="Y34" s="10">
        <v>43451</v>
      </c>
      <c r="Z34" s="11">
        <v>9986313631</v>
      </c>
      <c r="AA34" s="12" t="s">
        <v>160</v>
      </c>
      <c r="AB34" s="11" t="s">
        <v>161</v>
      </c>
      <c r="AC34" s="12" t="s">
        <v>162</v>
      </c>
      <c r="AD34" s="11" t="s">
        <v>113</v>
      </c>
      <c r="AE34" s="12" t="s">
        <v>114</v>
      </c>
      <c r="AF34" s="14">
        <f t="shared" si="0"/>
        <v>0.27034459999999999</v>
      </c>
      <c r="AG34" s="11" t="s">
        <v>156</v>
      </c>
    </row>
    <row r="35" spans="1:33" x14ac:dyDescent="0.2">
      <c r="A35" s="8">
        <v>8450</v>
      </c>
      <c r="B35" s="9" t="s">
        <v>163</v>
      </c>
      <c r="C35" s="10">
        <v>43472</v>
      </c>
      <c r="D35" s="11">
        <v>39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164</v>
      </c>
      <c r="J35" s="12" t="s">
        <v>165</v>
      </c>
      <c r="K35" s="13" t="s">
        <v>67</v>
      </c>
      <c r="L35" s="11" t="str">
        <f>"000026"</f>
        <v>000026</v>
      </c>
      <c r="M35" s="10">
        <v>43322</v>
      </c>
      <c r="N35" s="11" t="str">
        <f>"000030"</f>
        <v>000030</v>
      </c>
      <c r="O35" s="10">
        <v>43424</v>
      </c>
      <c r="P35" s="11" t="str">
        <f>"000028"</f>
        <v>000028</v>
      </c>
      <c r="Q35" s="10">
        <v>43424</v>
      </c>
      <c r="R35" s="11"/>
      <c r="S35" s="11" t="str">
        <f>"008581"</f>
        <v>008581</v>
      </c>
      <c r="T35" s="10">
        <v>43470</v>
      </c>
      <c r="U35" s="14">
        <v>49.987920000000003</v>
      </c>
      <c r="V35" s="14">
        <v>4.9416700000000002</v>
      </c>
      <c r="W35" s="14">
        <v>45.046250000000001</v>
      </c>
      <c r="X35" s="11">
        <v>316</v>
      </c>
      <c r="Y35" s="10">
        <v>43472</v>
      </c>
      <c r="Z35" s="11">
        <v>9986313631</v>
      </c>
      <c r="AA35" s="12" t="s">
        <v>166</v>
      </c>
      <c r="AB35" s="11" t="s">
        <v>167</v>
      </c>
      <c r="AC35" s="12" t="s">
        <v>168</v>
      </c>
      <c r="AD35" s="11" t="s">
        <v>113</v>
      </c>
      <c r="AE35" s="12" t="s">
        <v>114</v>
      </c>
      <c r="AF35" s="14">
        <f t="shared" si="0"/>
        <v>0.49987920000000002</v>
      </c>
      <c r="AG35" s="11" t="s">
        <v>156</v>
      </c>
    </row>
    <row r="36" spans="1:33" x14ac:dyDescent="0.2">
      <c r="A36" s="8">
        <v>8957</v>
      </c>
      <c r="B36" s="9" t="s">
        <v>169</v>
      </c>
      <c r="C36" s="10">
        <v>43501</v>
      </c>
      <c r="D36" s="11">
        <v>39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170</v>
      </c>
      <c r="J36" s="12" t="s">
        <v>171</v>
      </c>
      <c r="K36" s="13" t="s">
        <v>55</v>
      </c>
      <c r="L36" s="11" t="str">
        <f>"000040"</f>
        <v>000040</v>
      </c>
      <c r="M36" s="10">
        <v>43409</v>
      </c>
      <c r="N36" s="11" t="str">
        <f>"000049"</f>
        <v>000049</v>
      </c>
      <c r="O36" s="10">
        <v>43461</v>
      </c>
      <c r="P36" s="11" t="str">
        <f>"000271"</f>
        <v>000271</v>
      </c>
      <c r="Q36" s="10">
        <v>43461</v>
      </c>
      <c r="R36" s="11"/>
      <c r="S36" s="11" t="str">
        <f>"009041"</f>
        <v>009041</v>
      </c>
      <c r="T36" s="10">
        <v>43501</v>
      </c>
      <c r="U36" s="14">
        <v>97.593329999999995</v>
      </c>
      <c r="V36" s="14">
        <v>4.9509800000000004</v>
      </c>
      <c r="W36" s="14">
        <v>92.642349999999993</v>
      </c>
      <c r="X36" s="11">
        <v>339</v>
      </c>
      <c r="Y36" s="10">
        <v>43501</v>
      </c>
      <c r="Z36" s="11">
        <v>9845736688</v>
      </c>
      <c r="AA36" s="12" t="s">
        <v>172</v>
      </c>
      <c r="AB36" s="11" t="s">
        <v>173</v>
      </c>
      <c r="AC36" s="12" t="s">
        <v>174</v>
      </c>
      <c r="AD36" s="11" t="s">
        <v>44</v>
      </c>
      <c r="AE36" s="12" t="s">
        <v>45</v>
      </c>
      <c r="AF36" s="14">
        <f t="shared" si="0"/>
        <v>0.97593329999999989</v>
      </c>
      <c r="AG36" s="11" t="s">
        <v>156</v>
      </c>
    </row>
    <row r="37" spans="1:33" x14ac:dyDescent="0.2">
      <c r="A37" s="8">
        <v>9049</v>
      </c>
      <c r="B37" s="9" t="s">
        <v>169</v>
      </c>
      <c r="C37" s="10">
        <v>43504</v>
      </c>
      <c r="D37" s="11">
        <v>39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175</v>
      </c>
      <c r="J37" s="12" t="s">
        <v>176</v>
      </c>
      <c r="K37" s="13" t="s">
        <v>177</v>
      </c>
      <c r="L37" s="11" t="str">
        <f>"000105"</f>
        <v>000105</v>
      </c>
      <c r="M37" s="10">
        <v>43075</v>
      </c>
      <c r="N37" s="11" t="str">
        <f>"000035"</f>
        <v>000035</v>
      </c>
      <c r="O37" s="10">
        <v>43384</v>
      </c>
      <c r="P37" s="11" t="str">
        <f>"000221"</f>
        <v>000221</v>
      </c>
      <c r="Q37" s="10">
        <v>43398</v>
      </c>
      <c r="R37" s="11"/>
      <c r="S37" s="11" t="str">
        <f>"009157"</f>
        <v>009157</v>
      </c>
      <c r="T37" s="10">
        <v>43503</v>
      </c>
      <c r="U37" s="14">
        <v>9.8927300000000002</v>
      </c>
      <c r="V37" s="14">
        <v>0.40561000000000003</v>
      </c>
      <c r="W37" s="14">
        <v>9.4871200000000009</v>
      </c>
      <c r="X37" s="11">
        <v>346</v>
      </c>
      <c r="Y37" s="10">
        <v>43504</v>
      </c>
      <c r="Z37" s="11">
        <v>9900175940</v>
      </c>
      <c r="AA37" s="12" t="s">
        <v>178</v>
      </c>
      <c r="AB37" s="11" t="s">
        <v>51</v>
      </c>
      <c r="AC37" s="12" t="s">
        <v>52</v>
      </c>
      <c r="AD37" s="11" t="s">
        <v>44</v>
      </c>
      <c r="AE37" s="12" t="s">
        <v>45</v>
      </c>
      <c r="AF37" s="14">
        <f t="shared" si="0"/>
        <v>9.8927299999999996E-2</v>
      </c>
      <c r="AG37" s="11" t="s">
        <v>141</v>
      </c>
    </row>
    <row r="38" spans="1:33" x14ac:dyDescent="0.2">
      <c r="A38" s="8">
        <v>9089</v>
      </c>
      <c r="B38" s="9" t="s">
        <v>169</v>
      </c>
      <c r="C38" s="10">
        <v>43507</v>
      </c>
      <c r="D38" s="11">
        <v>39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131</v>
      </c>
      <c r="J38" s="12" t="s">
        <v>132</v>
      </c>
      <c r="K38" s="13" t="s">
        <v>179</v>
      </c>
      <c r="L38" s="11" t="str">
        <f>"0013"</f>
        <v>0013</v>
      </c>
      <c r="M38" s="10" t="s">
        <v>109</v>
      </c>
      <c r="N38" s="11" t="str">
        <f>"000006"</f>
        <v>000006</v>
      </c>
      <c r="O38" s="10">
        <v>43034</v>
      </c>
      <c r="P38" s="11" t="str">
        <f>"000006"</f>
        <v>000006</v>
      </c>
      <c r="Q38" s="10">
        <v>43036</v>
      </c>
      <c r="R38" s="11"/>
      <c r="S38" s="11" t="str">
        <f>"009000"</f>
        <v>009000</v>
      </c>
      <c r="T38" s="10">
        <v>43490</v>
      </c>
      <c r="U38" s="14">
        <v>9.4276300000000006</v>
      </c>
      <c r="V38" s="14">
        <v>0.29232999999999998</v>
      </c>
      <c r="W38" s="14">
        <v>9.1353000000000009</v>
      </c>
      <c r="X38" s="11">
        <v>347</v>
      </c>
      <c r="Y38" s="10">
        <v>43507</v>
      </c>
      <c r="Z38" s="11">
        <v>9448510301</v>
      </c>
      <c r="AA38" s="12" t="s">
        <v>134</v>
      </c>
      <c r="AB38" s="11" t="s">
        <v>135</v>
      </c>
      <c r="AC38" s="12" t="s">
        <v>136</v>
      </c>
      <c r="AD38" s="11" t="s">
        <v>113</v>
      </c>
      <c r="AE38" s="12" t="s">
        <v>114</v>
      </c>
      <c r="AF38" s="14">
        <f t="shared" si="0"/>
        <v>9.4276300000000007E-2</v>
      </c>
      <c r="AG38" s="11" t="s">
        <v>46</v>
      </c>
    </row>
    <row r="39" spans="1:33" x14ac:dyDescent="0.2">
      <c r="A39" s="8">
        <v>9495</v>
      </c>
      <c r="B39" s="9" t="s">
        <v>180</v>
      </c>
      <c r="C39" s="10">
        <v>43530</v>
      </c>
      <c r="D39" s="11">
        <v>39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181</v>
      </c>
      <c r="J39" s="12" t="s">
        <v>182</v>
      </c>
      <c r="K39" s="15" t="s">
        <v>100</v>
      </c>
      <c r="L39" s="11" t="str">
        <f>"000062"</f>
        <v>000062</v>
      </c>
      <c r="M39" s="10">
        <v>42859</v>
      </c>
      <c r="N39" s="11" t="str">
        <f>"000040"</f>
        <v>000040</v>
      </c>
      <c r="O39" s="10">
        <v>43418</v>
      </c>
      <c r="P39" s="11" t="str">
        <f>"000276"</f>
        <v>000276</v>
      </c>
      <c r="Q39" s="10">
        <v>43465</v>
      </c>
      <c r="R39" s="11"/>
      <c r="S39" s="11" t="str">
        <f>"009537"</f>
        <v>009537</v>
      </c>
      <c r="T39" s="10">
        <v>43526</v>
      </c>
      <c r="U39" s="14">
        <v>7.2164599999999997</v>
      </c>
      <c r="V39" s="14">
        <v>0.33929999999999999</v>
      </c>
      <c r="W39" s="14">
        <v>6.8771599999999999</v>
      </c>
      <c r="X39" s="11">
        <v>368</v>
      </c>
      <c r="Y39" s="10">
        <v>43530</v>
      </c>
      <c r="Z39" s="11">
        <v>9980485938</v>
      </c>
      <c r="AA39" s="12" t="s">
        <v>183</v>
      </c>
      <c r="AB39" s="11" t="s">
        <v>51</v>
      </c>
      <c r="AC39" s="12" t="s">
        <v>52</v>
      </c>
      <c r="AD39" s="11" t="s">
        <v>44</v>
      </c>
      <c r="AE39" s="12" t="s">
        <v>45</v>
      </c>
      <c r="AF39" s="14">
        <f t="shared" si="0"/>
        <v>7.2164599999999995E-2</v>
      </c>
      <c r="AG39" s="11" t="s">
        <v>141</v>
      </c>
    </row>
    <row r="40" spans="1:33" x14ac:dyDescent="0.2">
      <c r="A40" s="8">
        <v>9752</v>
      </c>
      <c r="B40" s="9" t="s">
        <v>180</v>
      </c>
      <c r="C40" s="10">
        <v>43544</v>
      </c>
      <c r="D40" s="11">
        <v>39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184</v>
      </c>
      <c r="J40" s="12" t="s">
        <v>185</v>
      </c>
      <c r="K40" s="13" t="s">
        <v>49</v>
      </c>
      <c r="L40" s="11" t="str">
        <f>"000098"</f>
        <v>000098</v>
      </c>
      <c r="M40" s="10">
        <v>43062</v>
      </c>
      <c r="N40" s="11" t="str">
        <f>"000004"</f>
        <v>000004</v>
      </c>
      <c r="O40" s="10">
        <v>43230</v>
      </c>
      <c r="P40" s="11" t="str">
        <f>"000048"</f>
        <v>000048</v>
      </c>
      <c r="Q40" s="10">
        <v>43237</v>
      </c>
      <c r="R40" s="11"/>
      <c r="S40" s="11" t="str">
        <f>"009788"</f>
        <v>009788</v>
      </c>
      <c r="T40" s="10">
        <v>43538</v>
      </c>
      <c r="U40" s="14">
        <v>74.986940000000004</v>
      </c>
      <c r="V40" s="14">
        <v>6.1879499999999998</v>
      </c>
      <c r="W40" s="14">
        <v>68.798990000000003</v>
      </c>
      <c r="X40" s="11">
        <v>378</v>
      </c>
      <c r="Y40" s="10">
        <v>43544</v>
      </c>
      <c r="Z40" s="11">
        <v>9449219009</v>
      </c>
      <c r="AA40" s="12" t="s">
        <v>50</v>
      </c>
      <c r="AB40" s="11" t="s">
        <v>42</v>
      </c>
      <c r="AC40" s="12" t="s">
        <v>43</v>
      </c>
      <c r="AD40" s="11" t="s">
        <v>44</v>
      </c>
      <c r="AE40" s="12" t="s">
        <v>45</v>
      </c>
      <c r="AF40" s="14">
        <f t="shared" si="0"/>
        <v>0.74986940000000002</v>
      </c>
      <c r="AG40" s="11" t="s">
        <v>141</v>
      </c>
    </row>
    <row r="41" spans="1:33" x14ac:dyDescent="0.2">
      <c r="A41" s="8">
        <v>9921</v>
      </c>
      <c r="B41" s="9" t="s">
        <v>180</v>
      </c>
      <c r="C41" s="10">
        <v>43552</v>
      </c>
      <c r="D41" s="11">
        <v>39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186</v>
      </c>
      <c r="J41" s="12" t="s">
        <v>187</v>
      </c>
      <c r="K41" s="13" t="s">
        <v>67</v>
      </c>
      <c r="L41" s="11" t="str">
        <f>"000086"</f>
        <v>000086</v>
      </c>
      <c r="M41" s="10">
        <v>42885</v>
      </c>
      <c r="N41" s="11" t="str">
        <f>""</f>
        <v/>
      </c>
      <c r="O41" s="10"/>
      <c r="P41" s="11" t="str">
        <f>""</f>
        <v/>
      </c>
      <c r="Q41" s="10"/>
      <c r="R41" s="11"/>
      <c r="S41" s="11" t="str">
        <f>""</f>
        <v/>
      </c>
      <c r="T41" s="10"/>
      <c r="U41" s="14">
        <v>22.62998</v>
      </c>
      <c r="V41" s="14">
        <v>1.6495</v>
      </c>
      <c r="W41" s="14">
        <v>20.98048</v>
      </c>
      <c r="X41" s="11">
        <v>388</v>
      </c>
      <c r="Y41" s="10">
        <v>43552</v>
      </c>
      <c r="Z41" s="11">
        <v>9845977507</v>
      </c>
      <c r="AA41" s="12" t="s">
        <v>188</v>
      </c>
      <c r="AB41" s="11" t="s">
        <v>42</v>
      </c>
      <c r="AC41" s="12" t="s">
        <v>43</v>
      </c>
      <c r="AD41" s="11" t="s">
        <v>44</v>
      </c>
      <c r="AE41" s="12" t="s">
        <v>45</v>
      </c>
      <c r="AF41" s="14">
        <f t="shared" si="0"/>
        <v>0.2262998</v>
      </c>
      <c r="AG41" s="11" t="s">
        <v>46</v>
      </c>
    </row>
    <row r="42" spans="1:33" x14ac:dyDescent="0.2">
      <c r="A42" s="8">
        <v>10109</v>
      </c>
      <c r="B42" s="9" t="s">
        <v>180</v>
      </c>
      <c r="C42" s="10">
        <v>43552</v>
      </c>
      <c r="D42" s="11">
        <v>39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189</v>
      </c>
      <c r="J42" s="12" t="s">
        <v>190</v>
      </c>
      <c r="K42" s="13" t="s">
        <v>191</v>
      </c>
      <c r="L42" s="11" t="str">
        <f>"000008"</f>
        <v>000008</v>
      </c>
      <c r="M42" s="10">
        <v>42916</v>
      </c>
      <c r="N42" s="11" t="str">
        <f>"000004"</f>
        <v>000004</v>
      </c>
      <c r="O42" s="10">
        <v>43074</v>
      </c>
      <c r="P42" s="11" t="str">
        <f>"000059"</f>
        <v>000059</v>
      </c>
      <c r="Q42" s="10">
        <v>43074</v>
      </c>
      <c r="R42" s="11"/>
      <c r="S42" s="11" t="str">
        <f>"010144"</f>
        <v>010144</v>
      </c>
      <c r="T42" s="10">
        <v>43552</v>
      </c>
      <c r="U42" s="14">
        <v>6.89</v>
      </c>
      <c r="V42" s="14">
        <v>0.14499999999999999</v>
      </c>
      <c r="W42" s="14">
        <v>6.7450000000000001</v>
      </c>
      <c r="X42" s="11">
        <v>392</v>
      </c>
      <c r="Y42" s="10">
        <v>43552</v>
      </c>
      <c r="Z42" s="11">
        <v>8884965645</v>
      </c>
      <c r="AA42" s="12" t="s">
        <v>192</v>
      </c>
      <c r="AB42" s="11" t="s">
        <v>193</v>
      </c>
      <c r="AC42" s="12" t="s">
        <v>194</v>
      </c>
      <c r="AD42" s="11" t="s">
        <v>195</v>
      </c>
      <c r="AE42" s="12" t="s">
        <v>196</v>
      </c>
      <c r="AF42" s="14">
        <f t="shared" si="0"/>
        <v>6.8900000000000003E-2</v>
      </c>
      <c r="AG42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2019-06-12T11:05:56Z</dcterms:modified>
</cp:coreProperties>
</file>