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15" i="1" l="1"/>
  <c r="S115" i="1"/>
  <c r="P115" i="1"/>
  <c r="N115" i="1"/>
  <c r="L115" i="1"/>
  <c r="AF114" i="1"/>
  <c r="S114" i="1"/>
  <c r="P114" i="1"/>
  <c r="N114" i="1"/>
  <c r="L114" i="1"/>
  <c r="AF113" i="1"/>
  <c r="S113" i="1"/>
  <c r="P113" i="1"/>
  <c r="N113" i="1"/>
  <c r="L113" i="1"/>
  <c r="AF112" i="1"/>
  <c r="S112" i="1"/>
  <c r="P112" i="1"/>
  <c r="N112" i="1"/>
  <c r="L112" i="1"/>
  <c r="AF111" i="1"/>
  <c r="S111" i="1"/>
  <c r="P111" i="1"/>
  <c r="N111" i="1"/>
  <c r="L111" i="1"/>
  <c r="AF110" i="1"/>
  <c r="S110" i="1"/>
  <c r="P110" i="1"/>
  <c r="N110" i="1"/>
  <c r="L110" i="1"/>
  <c r="AF109" i="1"/>
  <c r="S109" i="1"/>
  <c r="P109" i="1"/>
  <c r="N109" i="1"/>
  <c r="L109" i="1"/>
  <c r="AF108" i="1"/>
  <c r="S108" i="1"/>
  <c r="P108" i="1"/>
  <c r="N108" i="1"/>
  <c r="L108" i="1"/>
  <c r="AF107" i="1"/>
  <c r="S107" i="1"/>
  <c r="P107" i="1"/>
  <c r="N107" i="1"/>
  <c r="L107" i="1"/>
  <c r="AF106" i="1"/>
  <c r="S106" i="1"/>
  <c r="P106" i="1"/>
  <c r="N106" i="1"/>
  <c r="L106" i="1"/>
  <c r="AF105" i="1"/>
  <c r="S105" i="1"/>
  <c r="P105" i="1"/>
  <c r="N105" i="1"/>
  <c r="L105" i="1"/>
  <c r="AF104" i="1"/>
  <c r="S104" i="1"/>
  <c r="P104" i="1"/>
  <c r="N104" i="1"/>
  <c r="L104" i="1"/>
  <c r="AF103" i="1"/>
  <c r="S103" i="1"/>
  <c r="P103" i="1"/>
  <c r="N103" i="1"/>
  <c r="L103" i="1"/>
  <c r="AF102" i="1"/>
  <c r="S102" i="1"/>
  <c r="P102" i="1"/>
  <c r="N102" i="1"/>
  <c r="L102" i="1"/>
  <c r="AF101" i="1"/>
  <c r="S101" i="1"/>
  <c r="P101" i="1"/>
  <c r="N101" i="1"/>
  <c r="L101" i="1"/>
  <c r="AF100" i="1"/>
  <c r="S100" i="1"/>
  <c r="P100" i="1"/>
  <c r="N100" i="1"/>
  <c r="L100" i="1"/>
  <c r="AF99" i="1"/>
  <c r="S99" i="1"/>
  <c r="P99" i="1"/>
  <c r="N99" i="1"/>
  <c r="L99" i="1"/>
  <c r="AF98" i="1"/>
  <c r="S98" i="1"/>
  <c r="P98" i="1"/>
  <c r="N98" i="1"/>
  <c r="L98" i="1"/>
  <c r="AF97" i="1"/>
  <c r="S97" i="1"/>
  <c r="P97" i="1"/>
  <c r="N97" i="1"/>
  <c r="L97" i="1"/>
  <c r="AF96" i="1"/>
  <c r="S96" i="1"/>
  <c r="P96" i="1"/>
  <c r="N96" i="1"/>
  <c r="L96" i="1"/>
  <c r="AF95" i="1"/>
  <c r="S95" i="1"/>
  <c r="P95" i="1"/>
  <c r="N95" i="1"/>
  <c r="L95" i="1"/>
  <c r="AF94" i="1"/>
  <c r="S94" i="1"/>
  <c r="P94" i="1"/>
  <c r="N94" i="1"/>
  <c r="L94" i="1"/>
  <c r="AF93" i="1"/>
  <c r="S93" i="1"/>
  <c r="P93" i="1"/>
  <c r="N93" i="1"/>
  <c r="L93" i="1"/>
  <c r="AF92" i="1"/>
  <c r="S92" i="1"/>
  <c r="P92" i="1"/>
  <c r="N92" i="1"/>
  <c r="L92" i="1"/>
  <c r="AF91" i="1"/>
  <c r="S91" i="1"/>
  <c r="P91" i="1"/>
  <c r="N91" i="1"/>
  <c r="L91" i="1"/>
  <c r="AF90" i="1"/>
  <c r="S90" i="1"/>
  <c r="P90" i="1"/>
  <c r="N90" i="1"/>
  <c r="L90" i="1"/>
  <c r="AF89" i="1"/>
  <c r="S89" i="1"/>
  <c r="P89" i="1"/>
  <c r="N89" i="1"/>
  <c r="L89" i="1"/>
  <c r="AF88" i="1"/>
  <c r="S88" i="1"/>
  <c r="P88" i="1"/>
  <c r="N88" i="1"/>
  <c r="L88" i="1"/>
  <c r="AF87" i="1"/>
  <c r="S87" i="1"/>
  <c r="P87" i="1"/>
  <c r="N87" i="1"/>
  <c r="L87" i="1"/>
  <c r="AF86" i="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S69" i="1"/>
  <c r="P69" i="1"/>
  <c r="N69" i="1"/>
  <c r="L69" i="1"/>
  <c r="S68" i="1"/>
  <c r="P68" i="1"/>
  <c r="N68" i="1"/>
  <c r="L68" i="1"/>
  <c r="S67" i="1"/>
  <c r="P67" i="1"/>
  <c r="N67" i="1"/>
  <c r="L67" i="1"/>
  <c r="S66" i="1"/>
  <c r="P66" i="1"/>
  <c r="N66" i="1"/>
  <c r="L66" i="1"/>
  <c r="S65" i="1"/>
  <c r="P65" i="1"/>
  <c r="N65" i="1"/>
  <c r="L65" i="1"/>
  <c r="S64" i="1"/>
  <c r="P64" i="1"/>
  <c r="N64" i="1"/>
  <c r="L64" i="1"/>
  <c r="S63" i="1"/>
  <c r="P63" i="1"/>
  <c r="N63" i="1"/>
  <c r="L63" i="1"/>
  <c r="S62" i="1"/>
  <c r="P62" i="1"/>
  <c r="N62" i="1"/>
  <c r="L62" i="1"/>
  <c r="S61" i="1"/>
  <c r="P61" i="1"/>
  <c r="N61" i="1"/>
  <c r="L61" i="1"/>
  <c r="S60" i="1"/>
  <c r="P60" i="1"/>
  <c r="N60" i="1"/>
  <c r="L60" i="1"/>
  <c r="S59" i="1"/>
  <c r="P59" i="1"/>
  <c r="N59" i="1"/>
  <c r="L59" i="1"/>
  <c r="S58" i="1"/>
  <c r="P58" i="1"/>
  <c r="N58" i="1"/>
  <c r="L58" i="1"/>
  <c r="S57" i="1"/>
  <c r="P57" i="1"/>
  <c r="N57" i="1"/>
  <c r="L57" i="1"/>
  <c r="S56" i="1"/>
  <c r="P56" i="1"/>
  <c r="N56" i="1"/>
  <c r="L56" i="1"/>
  <c r="S55" i="1"/>
  <c r="P55" i="1"/>
  <c r="N55" i="1"/>
  <c r="L55" i="1"/>
  <c r="S54" i="1"/>
  <c r="P54" i="1"/>
  <c r="N54" i="1"/>
  <c r="L54" i="1"/>
  <c r="S53" i="1"/>
  <c r="P53" i="1"/>
  <c r="N53" i="1"/>
  <c r="L53" i="1"/>
  <c r="S52" i="1"/>
  <c r="P52" i="1"/>
  <c r="N52" i="1"/>
  <c r="L52" i="1"/>
  <c r="S51" i="1"/>
  <c r="P51" i="1"/>
  <c r="N51" i="1"/>
  <c r="L51" i="1"/>
  <c r="S50" i="1"/>
  <c r="P50" i="1"/>
  <c r="N50" i="1"/>
  <c r="L50" i="1"/>
  <c r="S49" i="1"/>
  <c r="P49" i="1"/>
  <c r="N49" i="1"/>
  <c r="L49" i="1"/>
  <c r="S48" i="1"/>
  <c r="P48" i="1"/>
  <c r="N48" i="1"/>
  <c r="L48" i="1"/>
  <c r="S47" i="1"/>
  <c r="P47" i="1"/>
  <c r="N47" i="1"/>
  <c r="L47"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<sst xmlns="http://schemas.openxmlformats.org/spreadsheetml/2006/main" count="1629" uniqueCount="326">
  <si>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</si>
  <si>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</si>
  <si>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</si>
  <si>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</si>
  <si>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</si>
  <si>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</si>
  <si>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</si>
  <si>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</si>
  <si>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</si>
  <si>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</si>
  <si>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</si>
  <si>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</si>
  <si>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</si>
  <si>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</si>
  <si>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</si>
  <si>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</si>
  <si>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</si>
  <si>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</si>
  <si>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</si>
  <si>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</si>
  <si>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</si>
  <si>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</si>
  <si>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</si>
  <si>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</si>
  <si>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</si>
  <si>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</si>
  <si>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</si>
  <si>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</si>
  <si>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</si>
  <si>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</si>
  <si>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</si>
  <si>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</si>
  <si>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</si>
  <si>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</si>
  <si>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Dodda Bidarakallu</t>
  </si>
  <si>
    <t>Herohalli</t>
  </si>
  <si>
    <t>Kengeri</t>
  </si>
  <si>
    <t>Raja Rajeswari Nagara</t>
  </si>
  <si>
    <t>040-16-000008</t>
  </si>
  <si>
    <t>Supply of Gangmen and Tractor at Doddabidrakallu in ward no 40 of Herohalli sub division</t>
  </si>
  <si>
    <t>Other Ward Works</t>
  </si>
  <si>
    <t>B.Siddegowda</t>
  </si>
  <si>
    <t>P1771</t>
  </si>
  <si>
    <t>Zone Works - POW Works</t>
  </si>
  <si>
    <t>ddo013</t>
  </si>
  <si>
    <t xml:space="preserve"> Assistant Executive Engineer Herohalli Sub Division Rajarajeshwari Nagar Zone</t>
  </si>
  <si>
    <t>Pending</t>
  </si>
  <si>
    <t>040-16-000042</t>
  </si>
  <si>
    <t>Construction of SWD DH-332 from Thigalarapalya main road to Inlet of Handrahalli Lake via beside kali temple Ch 500.00-975.00 SWD Leads to Handrahalli Lake in Ward No 40.</t>
  </si>
  <si>
    <t>Lakes</t>
  </si>
  <si>
    <t>M/s Alcon Consulting Engineers</t>
  </si>
  <si>
    <t>P3110</t>
  </si>
  <si>
    <t>14th Finance Commission Grant Works</t>
  </si>
  <si>
    <t>ddo313</t>
  </si>
  <si>
    <t xml:space="preserve"> Chief Engineer SWD Central Zone</t>
  </si>
  <si>
    <t>040-17-000057</t>
  </si>
  <si>
    <t>Engagement of Gangman and Hiring of Tractor Tippers for cleaning and Maintenance of road side drains and other cleaning works in works in ward no 40</t>
  </si>
  <si>
    <t>M.D.Gnanendra Murthy</t>
  </si>
  <si>
    <t>R-040-13-000003</t>
  </si>
  <si>
    <t>CONST OF SAMUDAYA BHAVANA at SY NO 64 OF DODDABIDRAKALLU (2ND STAGE)</t>
  </si>
  <si>
    <t>M/s.Rajarajeshwari Construction</t>
  </si>
  <si>
    <t>P0595</t>
  </si>
  <si>
    <t>Zonal Buildings</t>
  </si>
  <si>
    <t>040-14-000006</t>
  </si>
  <si>
    <t>Construction of Samudaya Bhavana(Stage-2) at Thippenahalli at Doddabidrakallu ward no 40 of herohalli sub division</t>
  </si>
  <si>
    <t>Sri.B.D.Devaraj, M/s.Rajarajeshwari Construction</t>
  </si>
  <si>
    <t>040-15-000011</t>
  </si>
  <si>
    <t>Construction of Samudaya Bhavana(Stage 3) at Thippenahalli in Doddabidrakallu Ward 40 of Herohalli sub division</t>
  </si>
  <si>
    <t>D.B.Devaraju, M/s.Rajarajeshwari Construction</t>
  </si>
  <si>
    <t>May</t>
  </si>
  <si>
    <t>040-17-000006</t>
  </si>
  <si>
    <t>Consultancy Services for Preparation of Detailed report(D.P.R) for the 05Works of Kengeri Division (Package-1)</t>
  </si>
  <si>
    <t>B M Range Gowda</t>
  </si>
  <si>
    <t>P3158</t>
  </si>
  <si>
    <t>SIP Infrastructure Project works</t>
  </si>
  <si>
    <t>040-17-000112</t>
  </si>
  <si>
    <t>Construction of public toilets at Doddabidarakallu,n W N 40</t>
  </si>
  <si>
    <t>Health &amp; Sanitation</t>
  </si>
  <si>
    <t>M/s.Mecadez Core Technologies Pvt. Ltd</t>
  </si>
  <si>
    <t>040-17-000115</t>
  </si>
  <si>
    <t>Improvements and developments works at SWM Plant Stage-II, Doddabidarakallu</t>
  </si>
  <si>
    <t>040-17-000117</t>
  </si>
  <si>
    <t>Construction of compound wall and other infrastructure works to the burial ground at Doddabidarakallu W N 40</t>
  </si>
  <si>
    <t>040-17-000114</t>
  </si>
  <si>
    <t>Improvements and developments works at SWM Plant Stage-1, Doddabidarakallu</t>
  </si>
  <si>
    <t>June</t>
  </si>
  <si>
    <t>040-18-000249</t>
  </si>
  <si>
    <t>Improvements Roads and Drains and Other Development Works at Hoshalli Colony and Surronding Areas In Ward No 40 of Herohalli Sub Division</t>
  </si>
  <si>
    <t>Roads &amp; Drivablility</t>
  </si>
  <si>
    <t>M/S KRIDL</t>
  </si>
  <si>
    <t>P1878</t>
  </si>
  <si>
    <t>18per - Works (Bhagyajyothi, Sooru / Neeru Yojane and General) (54 Lakhs / New Wards)</t>
  </si>
  <si>
    <t>Spill Over</t>
  </si>
  <si>
    <t>040-18-000252</t>
  </si>
  <si>
    <t>Improvements Roads and Drains and Other Development Works at Mubarak Nagar and Surrounding Areas In Ward No 40 of Herohalli Sub Division</t>
  </si>
  <si>
    <t>040-18-000250</t>
  </si>
  <si>
    <t>Improvements Roads and Drains and Other Development Works at Andrahalli Colony and Surrounding Areas In Ward No 40 of Herohalli Sub Division</t>
  </si>
  <si>
    <t>040-18-000253</t>
  </si>
  <si>
    <t>Improvements Roads and Drains and Other Development Works at Valmiki Nagar and Surrounding Areas In Ward No 40 of Herohalli Sub Division</t>
  </si>
  <si>
    <t>040-18-000251</t>
  </si>
  <si>
    <t>Improvements Roads and Drains and Other Development Works at Thigalarapalya Colony and Surrounding Areas In Ward No 40 of Herohalli Sub Division</t>
  </si>
  <si>
    <t>040-18-000247</t>
  </si>
  <si>
    <t>Improvements Roads and Drains and Other Development Works at Hoshalli Colony Eastern Side Adjecent to Police Ground In Ward No 40 of Herohalli Sub Division</t>
  </si>
  <si>
    <t>040-18-000248</t>
  </si>
  <si>
    <t>Improvements Roads and Drains and Other Development Works at Hoshalli Colony Southern Side Adjecent to Govt School In Ward No 40 of Herohalli Sub Division</t>
  </si>
  <si>
    <t>040-18-000255</t>
  </si>
  <si>
    <t>Improvements Roads and Drains and Other Development Works at Andrahalli Colony Near Aralimara and Surrounding Areas In Ward No 40 of Herohalli Sub Division</t>
  </si>
  <si>
    <t>040-18-000254</t>
  </si>
  <si>
    <t>Improvements Roads and Drains and Other Development Works at Channanayakanapalya Colony and Surrounding Areas In Ward No 40 of Herohalli Sub Division</t>
  </si>
  <si>
    <t>040-18-000246</t>
  </si>
  <si>
    <t>Improvements Roads and Drains and Other Development Works at Hoshalli Colony Northern Side Near Swd In Ward No 40 of Herohalli Sub Division</t>
  </si>
  <si>
    <t>040-17-000001</t>
  </si>
  <si>
    <t>Improvement of Street lighting system at Bhavaninagara and other places of ward no 40 (Doddabidrakallu)</t>
  </si>
  <si>
    <t>Footpaths &amp; Walkability</t>
  </si>
  <si>
    <t>KRIDL</t>
  </si>
  <si>
    <t>P2415</t>
  </si>
  <si>
    <t>Reserve fund for TandF Committee</t>
  </si>
  <si>
    <t>ddo009</t>
  </si>
  <si>
    <t xml:space="preserve"> Executive Engineer (Electrical) Rajarajeshwari Nagar Zone</t>
  </si>
  <si>
    <t>July</t>
  </si>
  <si>
    <t>040-16-000004</t>
  </si>
  <si>
    <t>Providing Sanitation Maintenance (UGD) at Doddabidrakallu in ward no 40 of Herohalli sub division</t>
  </si>
  <si>
    <t>Water &amp; Sanitary</t>
  </si>
  <si>
    <t>Vishwanath</t>
  </si>
  <si>
    <t>040-18-000031</t>
  </si>
  <si>
    <t>Maintenance of Crematorium Burrial Grounds and Office Maintenance at ward no 40</t>
  </si>
  <si>
    <t>M/s.KRIDL</t>
  </si>
  <si>
    <t>P3291</t>
  </si>
  <si>
    <t>14th Fin  -Maintenance of Cremotorium, Burial Grounds</t>
  </si>
  <si>
    <t>040-18-000034</t>
  </si>
  <si>
    <t>General public toilet and Septage maintenance at ward no 40</t>
  </si>
  <si>
    <t>P3294</t>
  </si>
  <si>
    <t>14th Finance Commission Works - General Public ToiletandSeptage Maintenance</t>
  </si>
  <si>
    <t>040-18-000030</t>
  </si>
  <si>
    <t>Providing Street lights Maintenance at ward no 40</t>
  </si>
  <si>
    <t>M/S.KRIDL</t>
  </si>
  <si>
    <t>P3290</t>
  </si>
  <si>
    <t>14th Finance Commission Works - Providing Street Lights and Maintenance</t>
  </si>
  <si>
    <t>040-18-000037</t>
  </si>
  <si>
    <t>Storm water drain maintenance at ward no 40</t>
  </si>
  <si>
    <t>P3297</t>
  </si>
  <si>
    <t>14th Finance Commission Grants - SWD Works</t>
  </si>
  <si>
    <t>040-18-000032</t>
  </si>
  <si>
    <t>Community Property Maintenance (including Parks) at ward no 40</t>
  </si>
  <si>
    <t>Trees, Parks &amp; Playgrounds</t>
  </si>
  <si>
    <t>P3292</t>
  </si>
  <si>
    <t>14th Finance Commission Works - Community Property Maintenance (including Parks)</t>
  </si>
  <si>
    <t>040-18-000033</t>
  </si>
  <si>
    <t>Providing Drinking water and Allied works at ward no 40</t>
  </si>
  <si>
    <t>Drinking Water</t>
  </si>
  <si>
    <t>P3293</t>
  </si>
  <si>
    <t>14th Finance Commission Works - Drinking Water</t>
  </si>
  <si>
    <t>040-18-000035</t>
  </si>
  <si>
    <t>UGD works at ward no 40</t>
  </si>
  <si>
    <t>P3295</t>
  </si>
  <si>
    <t>14th Finance Commission Works - UGD Works</t>
  </si>
  <si>
    <t>040-18-000036</t>
  </si>
  <si>
    <t>Improvements roads and footpath at ward no 40</t>
  </si>
  <si>
    <t>P3296</t>
  </si>
  <si>
    <t>14th Finance Commission Works - Road and Footpath Maintenance</t>
  </si>
  <si>
    <t>040-16-000006</t>
  </si>
  <si>
    <t>Maintenance for Repairs and Replacement of Parts of Submersible pumpset Motors Control Panels Internal and External Wiring in Venugopala Nagara Rajivghandi Nagara Shivaganga Layout Byraveshwara Nagara siddaganga Badavanae maranna Layout Gangamehamaiah Badavanae muneshwara badavanae Doddabidrakallu thippenahalli benaka Layout Kalabyraveshwara Nagara Chennanayakanapalya muniswamappa badavanae mysore lamp layout bhavani nagara muneshwara nagara kamath residency in ward no 40 of Herohalli sub division</t>
  </si>
  <si>
    <t>M/s. Cauvery Aqua Services</t>
  </si>
  <si>
    <t>308-12-000004</t>
  </si>
  <si>
    <t>Comprehensive development of Handrahalli Lake ward No.40</t>
  </si>
  <si>
    <t>Sri N Srinivas Murthy</t>
  </si>
  <si>
    <t>P2175</t>
  </si>
  <si>
    <t>Improvements To New Lakes</t>
  </si>
  <si>
    <t>ddo613</t>
  </si>
  <si>
    <t xml:space="preserve"> Executive Engineer 3 - Projects 2 Central Zone</t>
  </si>
  <si>
    <t>040-17-000113</t>
  </si>
  <si>
    <t>Providing UGD pipeline in W N 40, Tigalarapalya</t>
  </si>
  <si>
    <t>M/S. MECADEZ CORE TECHNOLOGIES PRIVATE LIMITED</t>
  </si>
  <si>
    <t>040-18-000038</t>
  </si>
  <si>
    <t>Solid waste management works at ward no 40</t>
  </si>
  <si>
    <t>P3298</t>
  </si>
  <si>
    <t>14th Finance Commission Works - SWM Works</t>
  </si>
  <si>
    <t>040-17-000118</t>
  </si>
  <si>
    <t>Construction and improvement of storm water drain in Doddabidarakallu W N 40 of Herohalli Sub Division</t>
  </si>
  <si>
    <t>Executive Engineer-3</t>
  </si>
  <si>
    <t>Current</t>
  </si>
  <si>
    <t>040-18-000273</t>
  </si>
  <si>
    <t xml:space="preserve">Construction of RCC Drain and Covering Slabs at Andrahalli Balance Portion in Ward No.40 of Herohalli Sub-Division. </t>
  </si>
  <si>
    <t>040-18-000277</t>
  </si>
  <si>
    <t xml:space="preserve">Improvements Roads and Drains at Brundavan Nagar Main and Cross Roads in Ward No.40 of Herohalli Sub-division. </t>
  </si>
  <si>
    <t>040-18-000275</t>
  </si>
  <si>
    <t xml:space="preserve">Improvements Roads and Drains at Basaveshwaranagar and Surrounding areas in Ward No.40 of Herohalli Sub-division. </t>
  </si>
  <si>
    <t>040-18-000274</t>
  </si>
  <si>
    <t>Construction of RCC Drain and Covering Slabs at Andrahalli Near Govt. School in Ward No.40 of Herohalli Sub-Division.</t>
  </si>
  <si>
    <t>040-18-000272</t>
  </si>
  <si>
    <t xml:space="preserve">Improvements Roads and Drains at Brundavan Nagar Main and Cross Roads Stage-2 in Ward No.40 of Herohalli Sub-division. </t>
  </si>
  <si>
    <t>040-18-000266</t>
  </si>
  <si>
    <t xml:space="preserve">Improvements Roads and Drains at Sridevi Nagar (Gollarahatti) Surrounding area Stage-1 in Ward No.40 of Herohalli Sub-division. </t>
  </si>
  <si>
    <t>040-18-000268</t>
  </si>
  <si>
    <t xml:space="preserve">Improvements Roads and Drains at Sridevi Nagar (Gollarahatti) Surrounding area Stage-3 in Ward No.40 of Herohalli Sub-division. </t>
  </si>
  <si>
    <t>040-18-000267</t>
  </si>
  <si>
    <t xml:space="preserve">Improvements Roads and Drains at Sridevi Nagar (Gollarahatti) Surrounding area Stage-2 in Ward No.40 of Herohalli Sub-division. </t>
  </si>
  <si>
    <t>040-18-000271</t>
  </si>
  <si>
    <t xml:space="preserve">Improvements Roads and Drains at Brundavan Nagar Main and Cross Roads Stage-3 in Ward No.40 of Herohalli Sub-division. </t>
  </si>
  <si>
    <t>040-18-000276</t>
  </si>
  <si>
    <t xml:space="preserve">Improvements Roads and Drains at Chalukya Nagar and Surrounding areas in Ward No.40 of Herohalli Sub-division </t>
  </si>
  <si>
    <t>040-18-000269</t>
  </si>
  <si>
    <t xml:space="preserve">Improvements Roads and Drains at Sridevi Nagar (Gollarahatti) Surrounding area Stage-4 in Ward No.40 of Herohalli Sub-division. </t>
  </si>
  <si>
    <t>040-18-000270</t>
  </si>
  <si>
    <t xml:space="preserve">Improvements Roads and Drains at Brundavan Nagar Main and Cross Roads Stage-1 in Ward No.40 of Herohalli Sub-division. </t>
  </si>
  <si>
    <t>040-17-000058</t>
  </si>
  <si>
    <t>Providing CC Camera at Garbage Block Spots in ward no 40</t>
  </si>
  <si>
    <t>Crime &amp; Safety</t>
  </si>
  <si>
    <t>K Kiran kumar(M.V.Infra services Pvt.Ltd)</t>
  </si>
  <si>
    <t>August</t>
  </si>
  <si>
    <t>040-15-000014</t>
  </si>
  <si>
    <t>Supplying of Gangman and Tractor at Doddabidrakallu Ward 40 of Herohalli sub division</t>
  </si>
  <si>
    <t xml:space="preserve"> B.Siddegowda</t>
  </si>
  <si>
    <t>040-16-000002</t>
  </si>
  <si>
    <t>Operation and Maintenance of Street Light System in Ward No.40-Doddabidarakallu(P-Andhrahalli) Package R28 of RajarajeshwariNagar Zone.</t>
  </si>
  <si>
    <t>M/S Maruthi Electricals Prop:Naveen Kumar</t>
  </si>
  <si>
    <t>P0300</t>
  </si>
  <si>
    <t>M and R to Street Lights - Replacement of Burnt Bulbs etc. (Package)</t>
  </si>
  <si>
    <t>040-17-000003</t>
  </si>
  <si>
    <t>Improvements of roads near 40 feet road Andhrahalli in ward no 40 of Herohalli Sub Division</t>
  </si>
  <si>
    <t>040-17-000005</t>
  </si>
  <si>
    <t>Improvements of roads and drains at Anupama school 3rd stage in ward no 40 of Herohalli Sub Division</t>
  </si>
  <si>
    <t>040-17-000004</t>
  </si>
  <si>
    <t>Improvements of roads and drains near Anupama school surroundings in ward no 40 of Herohalli Sub Division</t>
  </si>
  <si>
    <t>040-17-000039</t>
  </si>
  <si>
    <t>Maintenance for Repairs and Replacement of Parts of Submersible pump set Motors Control Panels Internal and External Wiring in Venugopala Nagara rajivghandi Nagara Shivaganga Layout Byraveshwara Nagara siddaganga Badavanae Maranna Layout Gangamehamaiah Badavanae Muneshwara Badavanae suvarna Nagara Wipro Layout Sapthagiri Badavanae Doddabidrakallu Thippenahalli Benaka Layout Kalabyraveshwara Nagara Chennanayakanapalya Muniswamappa Badavanae Mysore Lamp Layout Bhavani Nagara Muneshwara Nagara Kamath Residencey in Doddabidrakallu in Ward No 40 of Herohalli Sub Division</t>
  </si>
  <si>
    <t>040-17-000043</t>
  </si>
  <si>
    <t>Water Supply Through PVC Pipe Line at Doddabidrakallu ward Limits in Ward 40 of herohalli sub division</t>
  </si>
  <si>
    <t>040-17-000038</t>
  </si>
  <si>
    <t>Maintenance of PVC Pipe line at Thigalarapalya Andrahalli Gollarahatti and Hoshalli in Doddabidrakallu in Ward No 40 of Herohalli Sub Division</t>
  </si>
  <si>
    <t>040-17-000040</t>
  </si>
  <si>
    <t>Maintenance for Repairs and Replacement of parts of submersible pump set motor control panels Internal and External wiring in Balaji Nagara thigalarapalya udupa layout bylanjenya nagara mubarak nagara khadamba nagara muneshwara nagara karihobanahalli Andrahalli linghadeeranahalli Hosahalli Thulasinagara Golarahatti Saibaba nagara Vidyaman Nagara Sri chakra nagara Basaweshwara Nagara Rameshwara Badavane Doddanna Layout Soundrya Layout Vinayaka nagara in Doddabidrakallu ward no 40 of herohalli sub division</t>
  </si>
  <si>
    <t>Executive Enigneer,KRIDL</t>
  </si>
  <si>
    <t>040-17-000044</t>
  </si>
  <si>
    <t>Water Supply Through Tractor and Tankers in Ward No 40 of herohalli sub division</t>
  </si>
  <si>
    <t>040-17-000037</t>
  </si>
  <si>
    <t>Maintenance of PVC Pipe line at Channanayakanapalya Thippenhalli and Doddabidrakallu karihobanahalli in Doddabidrakallu in Ward No 40 of Herohalli Sub Division</t>
  </si>
  <si>
    <t>040-17-000045</t>
  </si>
  <si>
    <t>Drilling Borewells and Providing Electrification and Laying PVC Pipe Line with End Connection of Borewells in Doddabidrakallu Ward Limits in Ward No 40 of herohalli sub division</t>
  </si>
  <si>
    <t>040-17-000047</t>
  </si>
  <si>
    <t>Providing and supply of water through tractor and tanker at Doddabidrakallu Ward Limits in Ward No 40 of Herohalli Sub Division</t>
  </si>
  <si>
    <t>P1802</t>
  </si>
  <si>
    <t>Water Supply New Areas</t>
  </si>
  <si>
    <t>040-17-000059</t>
  </si>
  <si>
    <t>Providing Modren Dust Bin in Bangalore City in ward no 40</t>
  </si>
  <si>
    <t>Naveen Kumar Nagaraju (M/S Blue Shades Enterprises)</t>
  </si>
  <si>
    <t>September</t>
  </si>
  <si>
    <t>040-17-000002</t>
  </si>
  <si>
    <t>Drilling of Borewells and other Alliged works at Doddabidarakallu ward Limits in ward no 40 of Herohalli Sub Division</t>
  </si>
  <si>
    <t>Executive Engineer, KRIDL</t>
  </si>
  <si>
    <t>October</t>
  </si>
  <si>
    <t>040-17-000016</t>
  </si>
  <si>
    <t>Construction Of SamudayaBhavana at Gollarahatti, Doddabidrakallu in Ward No:40 of Herohalli Sub Division</t>
  </si>
  <si>
    <t>040-18-000263</t>
  </si>
  <si>
    <t xml:space="preserve">Improvements of Roads and Drains near Chethan Circle and surrounding areas in Ward No.40. (Stage-1). </t>
  </si>
  <si>
    <t>040-18-000262</t>
  </si>
  <si>
    <t xml:space="preserve">Improvements of Roads and Drains in Vidyamanya Nagar (Phase 2) and surrounding areas in Ward No.40. (Stage-2). </t>
  </si>
  <si>
    <t>040-18-000259</t>
  </si>
  <si>
    <t xml:space="preserve">Improvements of Roads and Drains near Vidyamanya Nagar and surrounding areas in Ward No.40. (Stage-1). </t>
  </si>
  <si>
    <t>040-18-000260</t>
  </si>
  <si>
    <t xml:space="preserve">Improvements of Roads and Drains in Basaveshwara Badavane and surrounding areas in Ward No.40 (Stage-1). </t>
  </si>
  <si>
    <t>040-18-000265</t>
  </si>
  <si>
    <t xml:space="preserve">Improvements of Roads and Drains near Anupama School and surrounding areas in Ward No.40. (Stage-2). </t>
  </si>
  <si>
    <t>040-18-000257</t>
  </si>
  <si>
    <t xml:space="preserve">Improvements of Roads and Drains in Sai Baba Nagar and surrounding areas in Ward No.40. (Stage-2). </t>
  </si>
  <si>
    <t>040-18-000261</t>
  </si>
  <si>
    <t xml:space="preserve">Improvements of Roads and Drains near Vidyamanya Nagar (Phase 2) and surrounding areas in Ward No.40 (Stage-1). </t>
  </si>
  <si>
    <t>040-18-000264</t>
  </si>
  <si>
    <t xml:space="preserve">Improvements of Roads and Drains near Anupama School and surrounding areas in Ward No.40. (Stage-1). </t>
  </si>
  <si>
    <t>040-18-000258</t>
  </si>
  <si>
    <t xml:space="preserve">Improvements of Roads and Drains near Jodi Sri Muneshwara Temple and surrounding in Ward No.40. </t>
  </si>
  <si>
    <t>040-18-000256</t>
  </si>
  <si>
    <t xml:space="preserve">Improvements of Roads and Drains in Sai Baba Nagar and surrounding areas in Ward No.40. (Stage-1). </t>
  </si>
  <si>
    <t>040-16-000050</t>
  </si>
  <si>
    <t>Improvements to Roads and Drains at Andrahalli Stage-2 . in ward no-40 of Herohalli Sub division</t>
  </si>
  <si>
    <t>P3089</t>
  </si>
  <si>
    <t>Special Development works in 7 CMC and 1 TMC area in BBMP</t>
  </si>
  <si>
    <t>040-16-000049</t>
  </si>
  <si>
    <t>Consultancy Services for Preparation of Detailed Project Report(D.P.R) for the 02 Works of ward no.40, Kengeri (4-5) P-2</t>
  </si>
  <si>
    <t>040-18-000010</t>
  </si>
  <si>
    <t>Providing R.O Plant in and Around ward no 40 Stage-1</t>
  </si>
  <si>
    <t>P0190</t>
  </si>
  <si>
    <t>Works sanctioned by Hon Mayor</t>
  </si>
  <si>
    <t>December</t>
  </si>
  <si>
    <t>040-18-000006</t>
  </si>
  <si>
    <t>Sinking Energizinsing and Commissining of Borewells in Dodda Bidarekallu Ward Area in Ward No. 40</t>
  </si>
  <si>
    <t>M. Rajesh (Sri Nanjundeshwara Construction)</t>
  </si>
  <si>
    <t>040-18-000012</t>
  </si>
  <si>
    <t>Drilling Borewells for Water Supply in ward no 40.</t>
  </si>
  <si>
    <t>P3321</t>
  </si>
  <si>
    <t>Special Development works at  Yeshwanthpur, Shantinagar, K.R.Puram, Assembly Constituencies Rs.5.00 Cr. Each</t>
  </si>
  <si>
    <t>040-18-000007</t>
  </si>
  <si>
    <t>Drilling of Borewell and Allied works in ward no 40 of Herohalli Sub Divisioin</t>
  </si>
  <si>
    <t>M/s. Cauvery Aqua Services, Prop.Thomas.P.A.</t>
  </si>
  <si>
    <t>January</t>
  </si>
  <si>
    <t>040-18-000009</t>
  </si>
  <si>
    <t>Providing Drinking Water Supply to Doddabidrakallu and surrounding area in ward no 40 of Herohalli Sub Divisioin</t>
  </si>
  <si>
    <t>040-18-000001</t>
  </si>
  <si>
    <t>Improvements of Roads and UGD Works at Valmiki Nagar in Doddabidrakallu in ward no 40 of Herohalli Sub-Division</t>
  </si>
  <si>
    <t>040-18-000003</t>
  </si>
  <si>
    <t>Improvements of Roads and UGD Works at Srichakra Nagar in Doddabidrakallu in ward no 40 of Herohalli Sub-Division</t>
  </si>
  <si>
    <t>040-18-000004</t>
  </si>
  <si>
    <t>Improvements of Roads and UGD Works at Vidyamanya Nagar in Doddabidrakallu in ward no 40 of Herohalli Sub-Division</t>
  </si>
  <si>
    <t>040-18-000005</t>
  </si>
  <si>
    <t>Improvements of Roads and UGD Works at Thigarapalya in Doddabidrakallu in ward no 40 of Herohalli Sub-Division</t>
  </si>
  <si>
    <t>040-18-000002</t>
  </si>
  <si>
    <t>Improvements of Roads and UGD Works at Saibaba Nagar in Doddabidrakallu in ward no 40 of Herohalli Sub-Division</t>
  </si>
  <si>
    <t>040-18-000297</t>
  </si>
  <si>
    <t>Construction of Storm Water Drain in Wipro Layout Thippenahalli in Doddabidirukallu ward no 40 of Rajarajeshwari Nagara Zone ..</t>
  </si>
  <si>
    <t>Storm Water Drains</t>
  </si>
  <si>
    <t xml:space="preserve">KRIDL, </t>
  </si>
  <si>
    <t>February</t>
  </si>
  <si>
    <t>040-17-000041</t>
  </si>
  <si>
    <t>Silt and Tractor at Channanayakanapalya Thippenhalli and Doddabidrakallu Karihobanahalli in Doddabidrakallu ward no 40 of herohalli sub division</t>
  </si>
  <si>
    <t>Sharana Gowda</t>
  </si>
  <si>
    <t>040-17-000036</t>
  </si>
  <si>
    <t>Maintenance of Sanitation (UGD) at Doddabidrakallu in Ward No 40 of Herohalli Sub Division</t>
  </si>
  <si>
    <t>Executive engineer, KRIDL</t>
  </si>
  <si>
    <t>040-17-000042</t>
  </si>
  <si>
    <t>Silt and Tractor at Thigalarapalya Andrahalli Gollarahatti and Hoshalli in Doddabidrakallu ward no 40 of herohalli sub division</t>
  </si>
  <si>
    <t>Executive Engineer KRIDL</t>
  </si>
  <si>
    <t>040-17-000046</t>
  </si>
  <si>
    <t>Removal of Debries at Doddabidrakallu in Ward No 40 of herohalli sub division</t>
  </si>
  <si>
    <t>M/s SHIPRAMA CONSULTING ENGINEERS PVT LTD,</t>
  </si>
  <si>
    <t>Providing Project Management Consultancy Services for the work of Construction and improvement of storm water drain in Doddabidarakallu W N 40 of Herohalli Sub Division</t>
  </si>
  <si>
    <t>M/s BVH Consulting Engineers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</si>
</sst>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5"/>
  <sheetViews>
    <sheetView tabSelected="1" workbookViewId="0">
      <pane ySplit="1" topLeftCell="A2" activePane="bottomLeft" state="frozen"/>
      <selection activeCell="H1" sqref="H1"/>
      <selection pane="bottomLeft" activeCell="A2" sqref="A2:XFD115"/>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353</v>
      </c>
      <c r="B2" s="9" t="s">
        <v>33</v>
      </c>
      <c r="C2" s="10">
        <v>43200</v>
      </c>
      <c r="D2" s="11">
        <v>40</v>
      </c>
      <c r="E2" s="12" t="s">
        <v>34</v>
      </c>
      <c r="F2" s="12" t="s">
        <v>35</v>
      </c>
      <c r="G2" s="12" t="s">
        <v>36</v>
      </c>
      <c r="H2" s="12" t="s">
        <v>37</v>
      </c>
      <c r="I2" s="11" t="s">
        <v>38</v>
      </c>
      <c r="J2" s="12" t="s">
        <v>39</v>
      </c>
      <c r="K2" s="13" t="s">
        <v>40</v>
      </c>
      <c r="L2" s="11" t="str">
        <f>"000217"</f>
        <v>000217</v>
      </c>
      <c r="M2" s="10">
        <v>42424</v>
      </c>
      <c r="N2" s="11" t="str">
        <f>"000197"</f>
        <v>000197</v>
      </c>
      <c r="O2" s="10">
        <v>42667</v>
      </c>
      <c r="P2" s="11" t="str">
        <f>"000401"</f>
        <v>000401</v>
      </c>
      <c r="Q2" s="10">
        <v>42704</v>
      </c>
      <c r="R2" s="11">
        <v>16</v>
      </c>
      <c r="S2" s="11" t="str">
        <f>""</f>
        <v/>
      </c>
      <c r="T2" s="10"/>
      <c r="U2" s="14">
        <v>6.7785500000000001</v>
      </c>
      <c r="V2" s="14">
        <v>0.41349999999999998</v>
      </c>
      <c r="W2" s="14">
        <v>6.3650500000000001</v>
      </c>
      <c r="X2" s="11">
        <v>9</v>
      </c>
      <c r="Y2" s="10">
        <v>43200</v>
      </c>
      <c r="Z2" s="11">
        <v>9731449749</v>
      </c>
      <c r="AA2" s="12" t="s">
        <v>41</v>
      </c>
      <c r="AB2" s="11" t="s">
        <v>42</v>
      </c>
      <c r="AC2" s="12" t="s">
        <v>43</v>
      </c>
      <c r="AD2" s="11" t="s">
        <v>44</v>
      </c>
      <c r="AE2" s="12" t="s">
        <v>45</v>
      </c>
      <c r="AF2" s="14">
        <v>6.7785499999999999E-2</v>
      </c>
      <c r="AG2" s="11" t="s">
        <v>46</v>
      </c>
    </row>
    <row r="3" spans="1:33" x14ac:dyDescent="0.2">
      <c r="A3" s="8">
        <v>354</v>
      </c>
      <c r="B3" s="9" t="s">
        <v>33</v>
      </c>
      <c r="C3" s="10">
        <v>43200</v>
      </c>
      <c r="D3" s="11">
        <v>40</v>
      </c>
      <c r="E3" s="12" t="s">
        <v>34</v>
      </c>
      <c r="F3" s="12" t="s">
        <v>35</v>
      </c>
      <c r="G3" s="12" t="s">
        <v>36</v>
      </c>
      <c r="H3" s="12" t="s">
        <v>37</v>
      </c>
      <c r="I3" s="11" t="s">
        <v>47</v>
      </c>
      <c r="J3" s="12" t="s">
        <v>48</v>
      </c>
      <c r="K3" s="13" t="s">
        <v>49</v>
      </c>
      <c r="L3" s="11" t="str">
        <f>"000011"</f>
        <v>000011</v>
      </c>
      <c r="M3" s="10">
        <v>42895</v>
      </c>
      <c r="N3" s="11" t="str">
        <f>"000003"</f>
        <v>000003</v>
      </c>
      <c r="O3" s="10">
        <v>42886</v>
      </c>
      <c r="P3" s="11" t="str">
        <f>"000028"</f>
        <v>000028</v>
      </c>
      <c r="Q3" s="10">
        <v>42886</v>
      </c>
      <c r="R3" s="11">
        <v>16</v>
      </c>
      <c r="S3" s="11" t="str">
        <f>"003421"</f>
        <v>003421</v>
      </c>
      <c r="T3" s="10">
        <v>42908</v>
      </c>
      <c r="U3" s="14">
        <v>8.8800000000000008</v>
      </c>
      <c r="V3" s="14">
        <v>0.88800000000000001</v>
      </c>
      <c r="W3" s="14">
        <v>7.992</v>
      </c>
      <c r="X3" s="11">
        <v>13</v>
      </c>
      <c r="Y3" s="10">
        <v>43200</v>
      </c>
      <c r="Z3" s="11">
        <v>9844004676</v>
      </c>
      <c r="AA3" s="12" t="s">
        <v>50</v>
      </c>
      <c r="AB3" s="11" t="s">
        <v>51</v>
      </c>
      <c r="AC3" s="12" t="s">
        <v>52</v>
      </c>
      <c r="AD3" s="11" t="s">
        <v>53</v>
      </c>
      <c r="AE3" s="12" t="s">
        <v>54</v>
      </c>
      <c r="AF3" s="14">
        <v>8.8800000000000004E-2</v>
      </c>
      <c r="AG3" s="11" t="s">
        <v>46</v>
      </c>
    </row>
    <row r="4" spans="1:33" x14ac:dyDescent="0.2">
      <c r="A4" s="8">
        <v>355</v>
      </c>
      <c r="B4" s="9" t="s">
        <v>33</v>
      </c>
      <c r="C4" s="10">
        <v>43200</v>
      </c>
      <c r="D4" s="11">
        <v>40</v>
      </c>
      <c r="E4" s="12" t="s">
        <v>34</v>
      </c>
      <c r="F4" s="12" t="s">
        <v>35</v>
      </c>
      <c r="G4" s="12" t="s">
        <v>36</v>
      </c>
      <c r="H4" s="12" t="s">
        <v>37</v>
      </c>
      <c r="I4" s="11" t="s">
        <v>55</v>
      </c>
      <c r="J4" s="12" t="s">
        <v>56</v>
      </c>
      <c r="K4" s="13" t="s">
        <v>40</v>
      </c>
      <c r="L4" s="11" t="str">
        <f>"000078"</f>
        <v>000078</v>
      </c>
      <c r="M4" s="10">
        <v>43064</v>
      </c>
      <c r="N4" s="11" t="str">
        <f>"000113"</f>
        <v>000113</v>
      </c>
      <c r="O4" s="10">
        <v>43185</v>
      </c>
      <c r="P4" s="11" t="str">
        <f>"000431"</f>
        <v>000431</v>
      </c>
      <c r="Q4" s="10">
        <v>43185</v>
      </c>
      <c r="R4" s="11">
        <v>17</v>
      </c>
      <c r="S4" s="11" t="str">
        <f>"000440"</f>
        <v>000440</v>
      </c>
      <c r="T4" s="10">
        <v>43199</v>
      </c>
      <c r="U4" s="14">
        <v>10.74982</v>
      </c>
      <c r="V4" s="14">
        <v>0.22575000000000001</v>
      </c>
      <c r="W4" s="14">
        <v>10.52407</v>
      </c>
      <c r="X4" s="11">
        <v>13</v>
      </c>
      <c r="Y4" s="10">
        <v>43200</v>
      </c>
      <c r="Z4" s="11">
        <v>9986020978</v>
      </c>
      <c r="AA4" s="12" t="s">
        <v>57</v>
      </c>
      <c r="AB4" s="11" t="s">
        <v>51</v>
      </c>
      <c r="AC4" s="12" t="s">
        <v>52</v>
      </c>
      <c r="AD4" s="11" t="s">
        <v>44</v>
      </c>
      <c r="AE4" s="12" t="s">
        <v>45</v>
      </c>
      <c r="AF4" s="14">
        <v>0.1074982</v>
      </c>
      <c r="AG4" s="11" t="s">
        <v>46</v>
      </c>
    </row>
    <row r="5" spans="1:33" x14ac:dyDescent="0.2">
      <c r="A5" s="8">
        <v>696</v>
      </c>
      <c r="B5" s="9" t="s">
        <v>33</v>
      </c>
      <c r="C5" s="10">
        <v>43216</v>
      </c>
      <c r="D5" s="11">
        <v>40</v>
      </c>
      <c r="E5" s="12" t="s">
        <v>34</v>
      </c>
      <c r="F5" s="12" t="s">
        <v>35</v>
      </c>
      <c r="G5" s="12" t="s">
        <v>36</v>
      </c>
      <c r="H5" s="12" t="s">
        <v>37</v>
      </c>
      <c r="I5" s="11" t="s">
        <v>58</v>
      </c>
      <c r="J5" s="12" t="s">
        <v>59</v>
      </c>
      <c r="K5" s="13" t="s">
        <v>40</v>
      </c>
      <c r="L5" s="11" t="str">
        <f>"000084"</f>
        <v>000084</v>
      </c>
      <c r="M5" s="10">
        <v>40085</v>
      </c>
      <c r="N5" s="11" t="str">
        <f>"000194"</f>
        <v>000194</v>
      </c>
      <c r="O5" s="10">
        <v>42667</v>
      </c>
      <c r="P5" s="11" t="str">
        <f>"000318"</f>
        <v>000318</v>
      </c>
      <c r="Q5" s="10">
        <v>42685</v>
      </c>
      <c r="R5" s="11">
        <v>13</v>
      </c>
      <c r="S5" s="11" t="str">
        <f>"000690"</f>
        <v>000690</v>
      </c>
      <c r="T5" s="10">
        <v>43215</v>
      </c>
      <c r="U5" s="14">
        <v>15.528510000000001</v>
      </c>
      <c r="V5" s="14">
        <v>2.0727000000000002</v>
      </c>
      <c r="W5" s="14">
        <v>13.45581</v>
      </c>
      <c r="X5" s="11">
        <v>28</v>
      </c>
      <c r="Y5" s="10">
        <v>43216</v>
      </c>
      <c r="Z5" s="11">
        <v>9066658595</v>
      </c>
      <c r="AA5" s="12" t="s">
        <v>60</v>
      </c>
      <c r="AB5" s="11" t="s">
        <v>61</v>
      </c>
      <c r="AC5" s="12" t="s">
        <v>62</v>
      </c>
      <c r="AD5" s="11" t="s">
        <v>44</v>
      </c>
      <c r="AE5" s="12" t="s">
        <v>45</v>
      </c>
      <c r="AF5" s="14">
        <v>0.15528510000000001</v>
      </c>
      <c r="AG5" s="11" t="s">
        <v>46</v>
      </c>
    </row>
    <row r="6" spans="1:33" x14ac:dyDescent="0.2">
      <c r="A6" s="8">
        <v>697</v>
      </c>
      <c r="B6" s="9" t="s">
        <v>33</v>
      </c>
      <c r="C6" s="10">
        <v>43216</v>
      </c>
      <c r="D6" s="11">
        <v>40</v>
      </c>
      <c r="E6" s="12" t="s">
        <v>34</v>
      </c>
      <c r="F6" s="12" t="s">
        <v>35</v>
      </c>
      <c r="G6" s="12" t="s">
        <v>36</v>
      </c>
      <c r="H6" s="12" t="s">
        <v>37</v>
      </c>
      <c r="I6" s="11" t="s">
        <v>63</v>
      </c>
      <c r="J6" s="12" t="s">
        <v>64</v>
      </c>
      <c r="K6" s="13" t="s">
        <v>40</v>
      </c>
      <c r="L6" s="11" t="str">
        <f>"000141"</f>
        <v>000141</v>
      </c>
      <c r="M6" s="10">
        <v>42461</v>
      </c>
      <c r="N6" s="11" t="str">
        <f>"000195"</f>
        <v>000195</v>
      </c>
      <c r="O6" s="10">
        <v>42671</v>
      </c>
      <c r="P6" s="11" t="str">
        <f>"000320"</f>
        <v>000320</v>
      </c>
      <c r="Q6" s="10">
        <v>42685</v>
      </c>
      <c r="R6" s="11">
        <v>14</v>
      </c>
      <c r="S6" s="11" t="str">
        <f>"000691"</f>
        <v>000691</v>
      </c>
      <c r="T6" s="10">
        <v>43215</v>
      </c>
      <c r="U6" s="14">
        <v>20.97466</v>
      </c>
      <c r="V6" s="14">
        <v>1.5217700000000001</v>
      </c>
      <c r="W6" s="14">
        <v>19.45289</v>
      </c>
      <c r="X6" s="11">
        <v>28</v>
      </c>
      <c r="Y6" s="10">
        <v>43216</v>
      </c>
      <c r="Z6" s="11">
        <v>9066658595</v>
      </c>
      <c r="AA6" s="12" t="s">
        <v>65</v>
      </c>
      <c r="AB6" s="11" t="s">
        <v>42</v>
      </c>
      <c r="AC6" s="12" t="s">
        <v>43</v>
      </c>
      <c r="AD6" s="11" t="s">
        <v>44</v>
      </c>
      <c r="AE6" s="12" t="s">
        <v>45</v>
      </c>
      <c r="AF6" s="14">
        <v>0.20974660000000001</v>
      </c>
      <c r="AG6" s="11" t="s">
        <v>46</v>
      </c>
    </row>
    <row r="7" spans="1:33" x14ac:dyDescent="0.2">
      <c r="A7" s="8">
        <v>698</v>
      </c>
      <c r="B7" s="9" t="s">
        <v>33</v>
      </c>
      <c r="C7" s="10">
        <v>43216</v>
      </c>
      <c r="D7" s="11">
        <v>40</v>
      </c>
      <c r="E7" s="12" t="s">
        <v>34</v>
      </c>
      <c r="F7" s="12" t="s">
        <v>35</v>
      </c>
      <c r="G7" s="12" t="s">
        <v>36</v>
      </c>
      <c r="H7" s="12" t="s">
        <v>37</v>
      </c>
      <c r="I7" s="11" t="s">
        <v>66</v>
      </c>
      <c r="J7" s="12" t="s">
        <v>67</v>
      </c>
      <c r="K7" s="13" t="s">
        <v>40</v>
      </c>
      <c r="L7" s="11" t="str">
        <f>"000158"</f>
        <v>000158</v>
      </c>
      <c r="M7" s="10">
        <v>42662</v>
      </c>
      <c r="N7" s="11" t="str">
        <f>""</f>
        <v/>
      </c>
      <c r="O7" s="10">
        <v>197</v>
      </c>
      <c r="P7" s="11" t="str">
        <f>"000321"</f>
        <v>000321</v>
      </c>
      <c r="Q7" s="10">
        <v>42685</v>
      </c>
      <c r="R7" s="11">
        <v>15</v>
      </c>
      <c r="S7" s="11" t="str">
        <f>"000692"</f>
        <v>000692</v>
      </c>
      <c r="T7" s="10">
        <v>43215</v>
      </c>
      <c r="U7" s="14">
        <v>9.5654900000000005</v>
      </c>
      <c r="V7" s="14">
        <v>0.70523000000000002</v>
      </c>
      <c r="W7" s="14">
        <v>8.8602600000000002</v>
      </c>
      <c r="X7" s="11">
        <v>28</v>
      </c>
      <c r="Y7" s="10">
        <v>43216</v>
      </c>
      <c r="Z7" s="11">
        <v>9066658595</v>
      </c>
      <c r="AA7" s="12" t="s">
        <v>68</v>
      </c>
      <c r="AB7" s="11" t="s">
        <v>42</v>
      </c>
      <c r="AC7" s="12" t="s">
        <v>43</v>
      </c>
      <c r="AD7" s="11" t="s">
        <v>44</v>
      </c>
      <c r="AE7" s="12" t="s">
        <v>45</v>
      </c>
      <c r="AF7" s="14">
        <v>9.5654900000000001E-2</v>
      </c>
      <c r="AG7" s="11" t="s">
        <v>46</v>
      </c>
    </row>
    <row r="8" spans="1:33" x14ac:dyDescent="0.2">
      <c r="A8" s="8">
        <v>860</v>
      </c>
      <c r="B8" s="9" t="s">
        <v>69</v>
      </c>
      <c r="C8" s="10">
        <v>43227</v>
      </c>
      <c r="D8" s="11">
        <v>40</v>
      </c>
      <c r="E8" s="12" t="s">
        <v>34</v>
      </c>
      <c r="F8" s="12" t="s">
        <v>35</v>
      </c>
      <c r="G8" s="12" t="s">
        <v>36</v>
      </c>
      <c r="H8" s="12" t="s">
        <v>37</v>
      </c>
      <c r="I8" s="11" t="s">
        <v>70</v>
      </c>
      <c r="J8" s="12" t="s">
        <v>71</v>
      </c>
      <c r="K8" s="13" t="s">
        <v>40</v>
      </c>
      <c r="L8" s="11" t="str">
        <f>"000072"</f>
        <v>000072</v>
      </c>
      <c r="M8" s="10">
        <v>42602</v>
      </c>
      <c r="N8" s="11" t="str">
        <f>"000222"</f>
        <v>000222</v>
      </c>
      <c r="O8" s="10">
        <v>42768</v>
      </c>
      <c r="P8" s="11" t="str">
        <f>"000436"</f>
        <v>000436</v>
      </c>
      <c r="Q8" s="10">
        <v>42772</v>
      </c>
      <c r="R8" s="11">
        <v>17</v>
      </c>
      <c r="S8" s="11" t="str">
        <f>"008137"</f>
        <v>008137</v>
      </c>
      <c r="T8" s="10">
        <v>42804</v>
      </c>
      <c r="U8" s="14">
        <v>575.72375999999997</v>
      </c>
      <c r="V8" s="14">
        <v>20.985040000000001</v>
      </c>
      <c r="W8" s="14">
        <v>554.73871999999994</v>
      </c>
      <c r="X8" s="11">
        <v>41</v>
      </c>
      <c r="Y8" s="10">
        <v>43227</v>
      </c>
      <c r="Z8" s="11">
        <v>9448450661</v>
      </c>
      <c r="AA8" s="12" t="s">
        <v>72</v>
      </c>
      <c r="AB8" s="11" t="s">
        <v>73</v>
      </c>
      <c r="AC8" s="12" t="s">
        <v>74</v>
      </c>
      <c r="AD8" s="11" t="s">
        <v>44</v>
      </c>
      <c r="AE8" s="12" t="s">
        <v>45</v>
      </c>
      <c r="AF8" s="14">
        <v>5.7572375999999998</v>
      </c>
      <c r="AG8" s="11" t="s">
        <v>46</v>
      </c>
    </row>
    <row r="9" spans="1:33" x14ac:dyDescent="0.2">
      <c r="A9" s="8">
        <v>937</v>
      </c>
      <c r="B9" s="9" t="s">
        <v>69</v>
      </c>
      <c r="C9" s="10">
        <v>43229</v>
      </c>
      <c r="D9" s="11">
        <v>40</v>
      </c>
      <c r="E9" s="12" t="s">
        <v>34</v>
      </c>
      <c r="F9" s="12" t="s">
        <v>35</v>
      </c>
      <c r="G9" s="12" t="s">
        <v>36</v>
      </c>
      <c r="H9" s="12" t="s">
        <v>37</v>
      </c>
      <c r="I9" s="11" t="s">
        <v>75</v>
      </c>
      <c r="J9" s="12" t="s">
        <v>76</v>
      </c>
      <c r="K9" s="13" t="s">
        <v>77</v>
      </c>
      <c r="L9" s="11" t="str">
        <f>""</f>
        <v/>
      </c>
      <c r="M9" s="10">
        <v>87</v>
      </c>
      <c r="N9" s="11" t="str">
        <f>"000028"</f>
        <v>000028</v>
      </c>
      <c r="O9" s="10">
        <v>43005</v>
      </c>
      <c r="P9" s="11" t="str">
        <f>"000154"</f>
        <v>000154</v>
      </c>
      <c r="Q9" s="10">
        <v>43005</v>
      </c>
      <c r="R9" s="11">
        <v>17</v>
      </c>
      <c r="S9" s="11" t="str">
        <f>"006720"</f>
        <v>006720</v>
      </c>
      <c r="T9" s="10">
        <v>43018</v>
      </c>
      <c r="U9" s="14">
        <v>0.4945</v>
      </c>
      <c r="V9" s="14">
        <v>4.9450000000000001E-2</v>
      </c>
      <c r="W9" s="14">
        <v>0.44505</v>
      </c>
      <c r="X9" s="11">
        <v>46</v>
      </c>
      <c r="Y9" s="10">
        <v>43229</v>
      </c>
      <c r="Z9" s="11">
        <v>9538136111</v>
      </c>
      <c r="AA9" s="12" t="s">
        <v>78</v>
      </c>
      <c r="AB9" s="11" t="s">
        <v>51</v>
      </c>
      <c r="AC9" s="12" t="s">
        <v>52</v>
      </c>
      <c r="AD9" s="11" t="s">
        <v>44</v>
      </c>
      <c r="AE9" s="12" t="s">
        <v>45</v>
      </c>
      <c r="AF9" s="14">
        <v>4.9449999999999997E-3</v>
      </c>
      <c r="AG9" s="11" t="s">
        <v>46</v>
      </c>
    </row>
    <row r="10" spans="1:33" x14ac:dyDescent="0.2">
      <c r="A10" s="8">
        <v>938</v>
      </c>
      <c r="B10" s="9" t="s">
        <v>69</v>
      </c>
      <c r="C10" s="10">
        <v>43229</v>
      </c>
      <c r="D10" s="11">
        <v>40</v>
      </c>
      <c r="E10" s="12" t="s">
        <v>34</v>
      </c>
      <c r="F10" s="12" t="s">
        <v>35</v>
      </c>
      <c r="G10" s="12" t="s">
        <v>36</v>
      </c>
      <c r="H10" s="12" t="s">
        <v>37</v>
      </c>
      <c r="I10" s="11" t="s">
        <v>79</v>
      </c>
      <c r="J10" s="12" t="s">
        <v>80</v>
      </c>
      <c r="K10" s="13" t="s">
        <v>40</v>
      </c>
      <c r="L10" s="11" t="str">
        <f>""</f>
        <v/>
      </c>
      <c r="M10" s="10">
        <v>90</v>
      </c>
      <c r="N10" s="11" t="str">
        <f>"000016"</f>
        <v>000016</v>
      </c>
      <c r="O10" s="10">
        <v>42967</v>
      </c>
      <c r="P10" s="11" t="str">
        <f>"000032"</f>
        <v>000032</v>
      </c>
      <c r="Q10" s="10">
        <v>42970</v>
      </c>
      <c r="R10" s="11">
        <v>17</v>
      </c>
      <c r="S10" s="11" t="str">
        <f>"005286"</f>
        <v>005286</v>
      </c>
      <c r="T10" s="10">
        <v>42979</v>
      </c>
      <c r="U10" s="14">
        <v>0.98899999999999999</v>
      </c>
      <c r="V10" s="14">
        <v>9.8900000000000002E-2</v>
      </c>
      <c r="W10" s="14">
        <v>0.8901</v>
      </c>
      <c r="X10" s="11">
        <v>46</v>
      </c>
      <c r="Y10" s="10">
        <v>43229</v>
      </c>
      <c r="Z10" s="11">
        <v>9538136111</v>
      </c>
      <c r="AA10" s="12" t="s">
        <v>78</v>
      </c>
      <c r="AB10" s="11" t="s">
        <v>51</v>
      </c>
      <c r="AC10" s="12" t="s">
        <v>52</v>
      </c>
      <c r="AD10" s="11" t="s">
        <v>44</v>
      </c>
      <c r="AE10" s="12" t="s">
        <v>45</v>
      </c>
      <c r="AF10" s="14">
        <v>9.8899999999999995E-3</v>
      </c>
      <c r="AG10" s="11" t="s">
        <v>46</v>
      </c>
    </row>
    <row r="11" spans="1:33" x14ac:dyDescent="0.2">
      <c r="A11" s="8">
        <v>939</v>
      </c>
      <c r="B11" s="9" t="s">
        <v>69</v>
      </c>
      <c r="C11" s="10">
        <v>43229</v>
      </c>
      <c r="D11" s="11">
        <v>40</v>
      </c>
      <c r="E11" s="12" t="s">
        <v>34</v>
      </c>
      <c r="F11" s="12" t="s">
        <v>35</v>
      </c>
      <c r="G11" s="12" t="s">
        <v>36</v>
      </c>
      <c r="H11" s="12" t="s">
        <v>37</v>
      </c>
      <c r="I11" s="11" t="s">
        <v>81</v>
      </c>
      <c r="J11" s="12" t="s">
        <v>82</v>
      </c>
      <c r="K11" s="13" t="s">
        <v>40</v>
      </c>
      <c r="L11" s="11" t="str">
        <f>"000091"</f>
        <v>000091</v>
      </c>
      <c r="M11" s="10">
        <v>42888</v>
      </c>
      <c r="N11" s="11" t="str">
        <f>"000082"</f>
        <v>000082</v>
      </c>
      <c r="O11" s="10">
        <v>43095</v>
      </c>
      <c r="P11" s="11" t="str">
        <f>"000287"</f>
        <v>000287</v>
      </c>
      <c r="Q11" s="10">
        <v>43095</v>
      </c>
      <c r="R11" s="11">
        <v>17</v>
      </c>
      <c r="S11" s="11" t="str">
        <f>"008827"</f>
        <v>008827</v>
      </c>
      <c r="T11" s="10">
        <v>43103</v>
      </c>
      <c r="U11" s="14">
        <v>0.98899999999999999</v>
      </c>
      <c r="V11" s="14">
        <v>9.8900000000000002E-2</v>
      </c>
      <c r="W11" s="14">
        <v>0.8901</v>
      </c>
      <c r="X11" s="11">
        <v>46</v>
      </c>
      <c r="Y11" s="10">
        <v>43229</v>
      </c>
      <c r="Z11" s="11">
        <v>9538136111</v>
      </c>
      <c r="AA11" s="12" t="s">
        <v>78</v>
      </c>
      <c r="AB11" s="11" t="s">
        <v>51</v>
      </c>
      <c r="AC11" s="12" t="s">
        <v>52</v>
      </c>
      <c r="AD11" s="11" t="s">
        <v>44</v>
      </c>
      <c r="AE11" s="12" t="s">
        <v>45</v>
      </c>
      <c r="AF11" s="14">
        <v>9.8899999999999995E-3</v>
      </c>
      <c r="AG11" s="11" t="s">
        <v>46</v>
      </c>
    </row>
    <row r="12" spans="1:33" x14ac:dyDescent="0.2">
      <c r="A12" s="8">
        <v>940</v>
      </c>
      <c r="B12" s="9" t="s">
        <v>69</v>
      </c>
      <c r="C12" s="10">
        <v>43229</v>
      </c>
      <c r="D12" s="11">
        <v>40</v>
      </c>
      <c r="E12" s="12" t="s">
        <v>34</v>
      </c>
      <c r="F12" s="12" t="s">
        <v>35</v>
      </c>
      <c r="G12" s="12" t="s">
        <v>36</v>
      </c>
      <c r="H12" s="12" t="s">
        <v>37</v>
      </c>
      <c r="I12" s="11" t="s">
        <v>83</v>
      </c>
      <c r="J12" s="12" t="s">
        <v>84</v>
      </c>
      <c r="K12" s="13" t="s">
        <v>40</v>
      </c>
      <c r="L12" s="11" t="str">
        <f>"000089"</f>
        <v>000089</v>
      </c>
      <c r="M12" s="10">
        <v>42888</v>
      </c>
      <c r="N12" s="11" t="str">
        <f>"000015"</f>
        <v>000015</v>
      </c>
      <c r="O12" s="10">
        <v>42967</v>
      </c>
      <c r="P12" s="11" t="str">
        <f>"000033"</f>
        <v>000033</v>
      </c>
      <c r="Q12" s="10">
        <v>42970</v>
      </c>
      <c r="R12" s="11">
        <v>17</v>
      </c>
      <c r="S12" s="11" t="str">
        <f>"005285"</f>
        <v>005285</v>
      </c>
      <c r="T12" s="10">
        <v>42979</v>
      </c>
      <c r="U12" s="14">
        <v>0.98899999999999999</v>
      </c>
      <c r="V12" s="14">
        <v>9.8900000000000002E-2</v>
      </c>
      <c r="W12" s="14">
        <v>0.8901</v>
      </c>
      <c r="X12" s="11">
        <v>46</v>
      </c>
      <c r="Y12" s="10">
        <v>43229</v>
      </c>
      <c r="Z12" s="11">
        <v>9538136111</v>
      </c>
      <c r="AA12" s="12" t="s">
        <v>78</v>
      </c>
      <c r="AB12" s="11" t="s">
        <v>51</v>
      </c>
      <c r="AC12" s="12" t="s">
        <v>52</v>
      </c>
      <c r="AD12" s="11" t="s">
        <v>44</v>
      </c>
      <c r="AE12" s="12" t="s">
        <v>45</v>
      </c>
      <c r="AF12" s="14">
        <v>9.8899999999999995E-3</v>
      </c>
      <c r="AG12" s="11" t="s">
        <v>46</v>
      </c>
    </row>
    <row r="13" spans="1:33" x14ac:dyDescent="0.2">
      <c r="A13" s="8">
        <v>941</v>
      </c>
      <c r="B13" s="9" t="s">
        <v>69</v>
      </c>
      <c r="C13" s="10">
        <v>43229</v>
      </c>
      <c r="D13" s="11">
        <v>40</v>
      </c>
      <c r="E13" s="12" t="s">
        <v>34</v>
      </c>
      <c r="F13" s="12" t="s">
        <v>35</v>
      </c>
      <c r="G13" s="12" t="s">
        <v>36</v>
      </c>
      <c r="H13" s="12" t="s">
        <v>37</v>
      </c>
      <c r="I13" s="11" t="s">
        <v>70</v>
      </c>
      <c r="J13" s="12" t="s">
        <v>71</v>
      </c>
      <c r="K13" s="13" t="s">
        <v>40</v>
      </c>
      <c r="L13" s="11" t="str">
        <f>"000072"</f>
        <v>000072</v>
      </c>
      <c r="M13" s="10">
        <v>42602</v>
      </c>
      <c r="N13" s="11" t="str">
        <f>"000222"</f>
        <v>000222</v>
      </c>
      <c r="O13" s="10">
        <v>42768</v>
      </c>
      <c r="P13" s="11" t="str">
        <f>"000436"</f>
        <v>000436</v>
      </c>
      <c r="Q13" s="10">
        <v>42772</v>
      </c>
      <c r="R13" s="11">
        <v>17</v>
      </c>
      <c r="S13" s="11" t="str">
        <f>"008137"</f>
        <v>008137</v>
      </c>
      <c r="T13" s="10">
        <v>42804</v>
      </c>
      <c r="U13" s="14">
        <v>165.96558999999999</v>
      </c>
      <c r="V13" s="14">
        <v>6.0079399999999996</v>
      </c>
      <c r="W13" s="14">
        <v>159.95765</v>
      </c>
      <c r="X13" s="11">
        <v>47</v>
      </c>
      <c r="Y13" s="10">
        <v>43229</v>
      </c>
      <c r="Z13" s="11">
        <v>9448450661</v>
      </c>
      <c r="AA13" s="12" t="s">
        <v>72</v>
      </c>
      <c r="AB13" s="11" t="s">
        <v>73</v>
      </c>
      <c r="AC13" s="12" t="s">
        <v>74</v>
      </c>
      <c r="AD13" s="11" t="s">
        <v>44</v>
      </c>
      <c r="AE13" s="12" t="s">
        <v>45</v>
      </c>
      <c r="AF13" s="14">
        <v>1.6596559</v>
      </c>
      <c r="AG13" s="11" t="s">
        <v>46</v>
      </c>
    </row>
    <row r="14" spans="1:33" x14ac:dyDescent="0.2">
      <c r="A14" s="8">
        <v>942</v>
      </c>
      <c r="B14" s="9" t="s">
        <v>69</v>
      </c>
      <c r="C14" s="10">
        <v>43229</v>
      </c>
      <c r="D14" s="11">
        <v>40</v>
      </c>
      <c r="E14" s="12" t="s">
        <v>34</v>
      </c>
      <c r="F14" s="12" t="s">
        <v>35</v>
      </c>
      <c r="G14" s="12" t="s">
        <v>36</v>
      </c>
      <c r="H14" s="12" t="s">
        <v>37</v>
      </c>
      <c r="I14" s="11" t="s">
        <v>70</v>
      </c>
      <c r="J14" s="12" t="s">
        <v>71</v>
      </c>
      <c r="K14" s="13" t="s">
        <v>40</v>
      </c>
      <c r="L14" s="11" t="str">
        <f>"000072"</f>
        <v>000072</v>
      </c>
      <c r="M14" s="10">
        <v>42602</v>
      </c>
      <c r="N14" s="11" t="str">
        <f>"000222"</f>
        <v>000222</v>
      </c>
      <c r="O14" s="10">
        <v>42768</v>
      </c>
      <c r="P14" s="11" t="str">
        <f>"000436"</f>
        <v>000436</v>
      </c>
      <c r="Q14" s="10">
        <v>42772</v>
      </c>
      <c r="R14" s="11">
        <v>17</v>
      </c>
      <c r="S14" s="11" t="str">
        <f>"008137"</f>
        <v>008137</v>
      </c>
      <c r="T14" s="10">
        <v>42804</v>
      </c>
      <c r="U14" s="14">
        <v>266.06760000000003</v>
      </c>
      <c r="V14" s="14">
        <v>9.5650999999999993</v>
      </c>
      <c r="W14" s="14">
        <v>256.5025</v>
      </c>
      <c r="X14" s="11">
        <v>47</v>
      </c>
      <c r="Y14" s="10">
        <v>43229</v>
      </c>
      <c r="Z14" s="11">
        <v>9448450661</v>
      </c>
      <c r="AA14" s="12" t="s">
        <v>72</v>
      </c>
      <c r="AB14" s="11" t="s">
        <v>73</v>
      </c>
      <c r="AC14" s="12" t="s">
        <v>74</v>
      </c>
      <c r="AD14" s="11" t="s">
        <v>44</v>
      </c>
      <c r="AE14" s="12" t="s">
        <v>45</v>
      </c>
      <c r="AF14" s="14">
        <v>2.6606760000000005</v>
      </c>
      <c r="AG14" s="11" t="s">
        <v>46</v>
      </c>
    </row>
    <row r="15" spans="1:33" x14ac:dyDescent="0.2">
      <c r="A15" s="8">
        <v>1713</v>
      </c>
      <c r="B15" s="9" t="s">
        <v>85</v>
      </c>
      <c r="C15" s="10">
        <v>43253</v>
      </c>
      <c r="D15" s="11">
        <v>40</v>
      </c>
      <c r="E15" s="12" t="s">
        <v>34</v>
      </c>
      <c r="F15" s="12" t="s">
        <v>35</v>
      </c>
      <c r="G15" s="12" t="s">
        <v>36</v>
      </c>
      <c r="H15" s="12" t="s">
        <v>37</v>
      </c>
      <c r="I15" s="11" t="s">
        <v>86</v>
      </c>
      <c r="J15" s="12" t="s">
        <v>87</v>
      </c>
      <c r="K15" s="13" t="s">
        <v>88</v>
      </c>
      <c r="L15" s="11" t="str">
        <f>"000369"</f>
        <v>000369</v>
      </c>
      <c r="M15" s="10">
        <v>43168</v>
      </c>
      <c r="N15" s="11" t="str">
        <f>"000035"</f>
        <v>000035</v>
      </c>
      <c r="O15" s="10">
        <v>43224</v>
      </c>
      <c r="P15" s="11" t="str">
        <f>"000087"</f>
        <v>000087</v>
      </c>
      <c r="Q15" s="10">
        <v>43228</v>
      </c>
      <c r="R15" s="11">
        <v>18</v>
      </c>
      <c r="S15" s="11" t="str">
        <f>"001792"</f>
        <v>001792</v>
      </c>
      <c r="T15" s="10">
        <v>43244</v>
      </c>
      <c r="U15" s="14">
        <v>49.058480000000003</v>
      </c>
      <c r="V15" s="14">
        <v>4.3337399999999997</v>
      </c>
      <c r="W15" s="14">
        <v>44.724739999999997</v>
      </c>
      <c r="X15" s="11">
        <v>68</v>
      </c>
      <c r="Y15" s="10">
        <v>43253</v>
      </c>
      <c r="Z15" s="11">
        <v>9845235505</v>
      </c>
      <c r="AA15" s="12" t="s">
        <v>89</v>
      </c>
      <c r="AB15" s="11" t="s">
        <v>90</v>
      </c>
      <c r="AC15" s="12" t="s">
        <v>91</v>
      </c>
      <c r="AD15" s="11" t="s">
        <v>44</v>
      </c>
      <c r="AE15" s="12" t="s">
        <v>45</v>
      </c>
      <c r="AF15" s="14">
        <v>0.49058480000000004</v>
      </c>
      <c r="AG15" s="11" t="s">
        <v>92</v>
      </c>
    </row>
    <row r="16" spans="1:33" x14ac:dyDescent="0.2">
      <c r="A16" s="8">
        <v>1714</v>
      </c>
      <c r="B16" s="9" t="s">
        <v>85</v>
      </c>
      <c r="C16" s="10">
        <v>43253</v>
      </c>
      <c r="D16" s="11">
        <v>40</v>
      </c>
      <c r="E16" s="12" t="s">
        <v>34</v>
      </c>
      <c r="F16" s="12" t="s">
        <v>35</v>
      </c>
      <c r="G16" s="12" t="s">
        <v>36</v>
      </c>
      <c r="H16" s="12" t="s">
        <v>37</v>
      </c>
      <c r="I16" s="11" t="s">
        <v>93</v>
      </c>
      <c r="J16" s="12" t="s">
        <v>94</v>
      </c>
      <c r="K16" s="13" t="s">
        <v>88</v>
      </c>
      <c r="L16" s="11" t="str">
        <f>"000372"</f>
        <v>000372</v>
      </c>
      <c r="M16" s="10">
        <v>43168</v>
      </c>
      <c r="N16" s="11" t="str">
        <f>"000033"</f>
        <v>000033</v>
      </c>
      <c r="O16" s="10">
        <v>43224</v>
      </c>
      <c r="P16" s="11" t="str">
        <f>"000089"</f>
        <v>000089</v>
      </c>
      <c r="Q16" s="10">
        <v>43228</v>
      </c>
      <c r="R16" s="11">
        <v>18</v>
      </c>
      <c r="S16" s="11" t="str">
        <f>"001793"</f>
        <v>001793</v>
      </c>
      <c r="T16" s="10">
        <v>43244</v>
      </c>
      <c r="U16" s="14">
        <v>49.099069999999998</v>
      </c>
      <c r="V16" s="14">
        <v>4.2990199999999996</v>
      </c>
      <c r="W16" s="14">
        <v>44.800049999999999</v>
      </c>
      <c r="X16" s="11">
        <v>68</v>
      </c>
      <c r="Y16" s="10">
        <v>43253</v>
      </c>
      <c r="Z16" s="11">
        <v>9845235505</v>
      </c>
      <c r="AA16" s="12" t="s">
        <v>89</v>
      </c>
      <c r="AB16" s="11" t="s">
        <v>90</v>
      </c>
      <c r="AC16" s="12" t="s">
        <v>91</v>
      </c>
      <c r="AD16" s="11" t="s">
        <v>44</v>
      </c>
      <c r="AE16" s="12" t="s">
        <v>45</v>
      </c>
      <c r="AF16" s="14">
        <v>0.4909907</v>
      </c>
      <c r="AG16" s="11" t="s">
        <v>92</v>
      </c>
    </row>
    <row r="17" spans="1:33" x14ac:dyDescent="0.2">
      <c r="A17" s="8">
        <v>1715</v>
      </c>
      <c r="B17" s="9" t="s">
        <v>85</v>
      </c>
      <c r="C17" s="10">
        <v>43253</v>
      </c>
      <c r="D17" s="11">
        <v>40</v>
      </c>
      <c r="E17" s="12" t="s">
        <v>34</v>
      </c>
      <c r="F17" s="12" t="s">
        <v>35</v>
      </c>
      <c r="G17" s="12" t="s">
        <v>36</v>
      </c>
      <c r="H17" s="12" t="s">
        <v>37</v>
      </c>
      <c r="I17" s="11" t="s">
        <v>95</v>
      </c>
      <c r="J17" s="12" t="s">
        <v>96</v>
      </c>
      <c r="K17" s="13" t="s">
        <v>88</v>
      </c>
      <c r="L17" s="11" t="str">
        <f>"000370"</f>
        <v>000370</v>
      </c>
      <c r="M17" s="10">
        <v>43168</v>
      </c>
      <c r="N17" s="11" t="str">
        <f>"000036"</f>
        <v>000036</v>
      </c>
      <c r="O17" s="10">
        <v>43224</v>
      </c>
      <c r="P17" s="11" t="str">
        <f>"000090"</f>
        <v>000090</v>
      </c>
      <c r="Q17" s="10">
        <v>43228</v>
      </c>
      <c r="R17" s="11">
        <v>18</v>
      </c>
      <c r="S17" s="11" t="str">
        <f>"001794"</f>
        <v>001794</v>
      </c>
      <c r="T17" s="10">
        <v>43244</v>
      </c>
      <c r="U17" s="14">
        <v>48.964030000000001</v>
      </c>
      <c r="V17" s="14">
        <v>4.3260800000000001</v>
      </c>
      <c r="W17" s="14">
        <v>44.637949999999996</v>
      </c>
      <c r="X17" s="11">
        <v>68</v>
      </c>
      <c r="Y17" s="10">
        <v>43253</v>
      </c>
      <c r="Z17" s="11">
        <v>9845235505</v>
      </c>
      <c r="AA17" s="12" t="s">
        <v>89</v>
      </c>
      <c r="AB17" s="11" t="s">
        <v>90</v>
      </c>
      <c r="AC17" s="12" t="s">
        <v>91</v>
      </c>
      <c r="AD17" s="11" t="s">
        <v>44</v>
      </c>
      <c r="AE17" s="12" t="s">
        <v>45</v>
      </c>
      <c r="AF17" s="14">
        <v>0.48964030000000003</v>
      </c>
      <c r="AG17" s="11" t="s">
        <v>92</v>
      </c>
    </row>
    <row r="18" spans="1:33" x14ac:dyDescent="0.2">
      <c r="A18" s="8">
        <v>1716</v>
      </c>
      <c r="B18" s="9" t="s">
        <v>85</v>
      </c>
      <c r="C18" s="10">
        <v>43253</v>
      </c>
      <c r="D18" s="11">
        <v>40</v>
      </c>
      <c r="E18" s="12" t="s">
        <v>34</v>
      </c>
      <c r="F18" s="12" t="s">
        <v>35</v>
      </c>
      <c r="G18" s="12" t="s">
        <v>36</v>
      </c>
      <c r="H18" s="12" t="s">
        <v>37</v>
      </c>
      <c r="I18" s="11" t="s">
        <v>97</v>
      </c>
      <c r="J18" s="12" t="s">
        <v>98</v>
      </c>
      <c r="K18" s="13" t="s">
        <v>88</v>
      </c>
      <c r="L18" s="11" t="str">
        <f>"000373"</f>
        <v>000373</v>
      </c>
      <c r="M18" s="10">
        <v>43168</v>
      </c>
      <c r="N18" s="11" t="str">
        <f>"000038"</f>
        <v>000038</v>
      </c>
      <c r="O18" s="10">
        <v>43225</v>
      </c>
      <c r="P18" s="11" t="str">
        <f>"000091"</f>
        <v>000091</v>
      </c>
      <c r="Q18" s="10">
        <v>43228</v>
      </c>
      <c r="R18" s="11">
        <v>18</v>
      </c>
      <c r="S18" s="11" t="str">
        <f>"001795"</f>
        <v>001795</v>
      </c>
      <c r="T18" s="10">
        <v>43244</v>
      </c>
      <c r="U18" s="14">
        <v>48.929589999999997</v>
      </c>
      <c r="V18" s="14">
        <v>4.2853000000000003</v>
      </c>
      <c r="W18" s="14">
        <v>44.644289999999998</v>
      </c>
      <c r="X18" s="11">
        <v>68</v>
      </c>
      <c r="Y18" s="10">
        <v>43253</v>
      </c>
      <c r="Z18" s="11">
        <v>9845235505</v>
      </c>
      <c r="AA18" s="12" t="s">
        <v>89</v>
      </c>
      <c r="AB18" s="11" t="s">
        <v>90</v>
      </c>
      <c r="AC18" s="12" t="s">
        <v>91</v>
      </c>
      <c r="AD18" s="11" t="s">
        <v>44</v>
      </c>
      <c r="AE18" s="12" t="s">
        <v>45</v>
      </c>
      <c r="AF18" s="14">
        <v>0.48929589999999995</v>
      </c>
      <c r="AG18" s="11" t="s">
        <v>92</v>
      </c>
    </row>
    <row r="19" spans="1:33" x14ac:dyDescent="0.2">
      <c r="A19" s="8">
        <v>1717</v>
      </c>
      <c r="B19" s="9" t="s">
        <v>85</v>
      </c>
      <c r="C19" s="10">
        <v>43253</v>
      </c>
      <c r="D19" s="11">
        <v>40</v>
      </c>
      <c r="E19" s="12" t="s">
        <v>34</v>
      </c>
      <c r="F19" s="12" t="s">
        <v>35</v>
      </c>
      <c r="G19" s="12" t="s">
        <v>36</v>
      </c>
      <c r="H19" s="12" t="s">
        <v>37</v>
      </c>
      <c r="I19" s="11" t="s">
        <v>99</v>
      </c>
      <c r="J19" s="12" t="s">
        <v>100</v>
      </c>
      <c r="K19" s="13" t="s">
        <v>88</v>
      </c>
      <c r="L19" s="11" t="str">
        <f>"000371"</f>
        <v>000371</v>
      </c>
      <c r="M19" s="10">
        <v>43168</v>
      </c>
      <c r="N19" s="11" t="str">
        <f>"000037"</f>
        <v>000037</v>
      </c>
      <c r="O19" s="10">
        <v>43224</v>
      </c>
      <c r="P19" s="11" t="str">
        <f>"000092"</f>
        <v>000092</v>
      </c>
      <c r="Q19" s="10">
        <v>43228</v>
      </c>
      <c r="R19" s="11">
        <v>18</v>
      </c>
      <c r="S19" s="11" t="str">
        <f>"001796"</f>
        <v>001796</v>
      </c>
      <c r="T19" s="10">
        <v>43244</v>
      </c>
      <c r="U19" s="14">
        <v>49.100920000000002</v>
      </c>
      <c r="V19" s="14">
        <v>4.3221699999999998</v>
      </c>
      <c r="W19" s="14">
        <v>44.778750000000002</v>
      </c>
      <c r="X19" s="11">
        <v>68</v>
      </c>
      <c r="Y19" s="10">
        <v>43253</v>
      </c>
      <c r="Z19" s="11">
        <v>9845235505</v>
      </c>
      <c r="AA19" s="12" t="s">
        <v>89</v>
      </c>
      <c r="AB19" s="11" t="s">
        <v>90</v>
      </c>
      <c r="AC19" s="12" t="s">
        <v>91</v>
      </c>
      <c r="AD19" s="11" t="s">
        <v>44</v>
      </c>
      <c r="AE19" s="12" t="s">
        <v>45</v>
      </c>
      <c r="AF19" s="14">
        <v>0.49100920000000003</v>
      </c>
      <c r="AG19" s="11" t="s">
        <v>92</v>
      </c>
    </row>
    <row r="20" spans="1:33" x14ac:dyDescent="0.2">
      <c r="A20" s="8">
        <v>1718</v>
      </c>
      <c r="B20" s="9" t="s">
        <v>85</v>
      </c>
      <c r="C20" s="10">
        <v>43253</v>
      </c>
      <c r="D20" s="11">
        <v>40</v>
      </c>
      <c r="E20" s="12" t="s">
        <v>34</v>
      </c>
      <c r="F20" s="12" t="s">
        <v>35</v>
      </c>
      <c r="G20" s="12" t="s">
        <v>36</v>
      </c>
      <c r="H20" s="12" t="s">
        <v>37</v>
      </c>
      <c r="I20" s="11" t="s">
        <v>101</v>
      </c>
      <c r="J20" s="12" t="s">
        <v>102</v>
      </c>
      <c r="K20" s="13" t="s">
        <v>88</v>
      </c>
      <c r="L20" s="11" t="str">
        <f>"000367"</f>
        <v>000367</v>
      </c>
      <c r="M20" s="10">
        <v>43168</v>
      </c>
      <c r="N20" s="11" t="str">
        <f>"000039"</f>
        <v>000039</v>
      </c>
      <c r="O20" s="10">
        <v>43225</v>
      </c>
      <c r="P20" s="11" t="str">
        <f>"000093"</f>
        <v>000093</v>
      </c>
      <c r="Q20" s="10">
        <v>43228</v>
      </c>
      <c r="R20" s="11">
        <v>18</v>
      </c>
      <c r="S20" s="11" t="str">
        <f>"001797"</f>
        <v>001797</v>
      </c>
      <c r="T20" s="10">
        <v>43244</v>
      </c>
      <c r="U20" s="14">
        <v>49.097369999999998</v>
      </c>
      <c r="V20" s="14">
        <v>4.3548900000000001</v>
      </c>
      <c r="W20" s="14">
        <v>44.74248</v>
      </c>
      <c r="X20" s="11">
        <v>68</v>
      </c>
      <c r="Y20" s="10">
        <v>43253</v>
      </c>
      <c r="Z20" s="11">
        <v>9845235505</v>
      </c>
      <c r="AA20" s="12" t="s">
        <v>89</v>
      </c>
      <c r="AB20" s="11" t="s">
        <v>90</v>
      </c>
      <c r="AC20" s="12" t="s">
        <v>91</v>
      </c>
      <c r="AD20" s="11" t="s">
        <v>44</v>
      </c>
      <c r="AE20" s="12" t="s">
        <v>45</v>
      </c>
      <c r="AF20" s="14">
        <v>0.49097369999999996</v>
      </c>
      <c r="AG20" s="11" t="s">
        <v>92</v>
      </c>
    </row>
    <row r="21" spans="1:33" x14ac:dyDescent="0.2">
      <c r="A21" s="8">
        <v>1719</v>
      </c>
      <c r="B21" s="9" t="s">
        <v>85</v>
      </c>
      <c r="C21" s="10">
        <v>43253</v>
      </c>
      <c r="D21" s="11">
        <v>40</v>
      </c>
      <c r="E21" s="12" t="s">
        <v>34</v>
      </c>
      <c r="F21" s="12" t="s">
        <v>35</v>
      </c>
      <c r="G21" s="12" t="s">
        <v>36</v>
      </c>
      <c r="H21" s="12" t="s">
        <v>37</v>
      </c>
      <c r="I21" s="11" t="s">
        <v>103</v>
      </c>
      <c r="J21" s="12" t="s">
        <v>104</v>
      </c>
      <c r="K21" s="13" t="s">
        <v>88</v>
      </c>
      <c r="L21" s="11" t="str">
        <f>"000368"</f>
        <v>000368</v>
      </c>
      <c r="M21" s="10">
        <v>43168</v>
      </c>
      <c r="N21" s="11" t="str">
        <f>"000032"</f>
        <v>000032</v>
      </c>
      <c r="O21" s="10">
        <v>43224</v>
      </c>
      <c r="P21" s="11" t="str">
        <f>"000094"</f>
        <v>000094</v>
      </c>
      <c r="Q21" s="10">
        <v>43228</v>
      </c>
      <c r="R21" s="11">
        <v>18</v>
      </c>
      <c r="S21" s="11" t="str">
        <f>"001798"</f>
        <v>001798</v>
      </c>
      <c r="T21" s="10">
        <v>43244</v>
      </c>
      <c r="U21" s="14">
        <v>49.100540000000002</v>
      </c>
      <c r="V21" s="14">
        <v>4.3551399999999996</v>
      </c>
      <c r="W21" s="14">
        <v>44.745399999999997</v>
      </c>
      <c r="X21" s="11">
        <v>68</v>
      </c>
      <c r="Y21" s="10">
        <v>43253</v>
      </c>
      <c r="Z21" s="11">
        <v>9845235505</v>
      </c>
      <c r="AA21" s="12" t="s">
        <v>89</v>
      </c>
      <c r="AB21" s="11" t="s">
        <v>90</v>
      </c>
      <c r="AC21" s="12" t="s">
        <v>91</v>
      </c>
      <c r="AD21" s="11" t="s">
        <v>44</v>
      </c>
      <c r="AE21" s="12" t="s">
        <v>45</v>
      </c>
      <c r="AF21" s="14">
        <v>0.49100540000000004</v>
      </c>
      <c r="AG21" s="11" t="s">
        <v>92</v>
      </c>
    </row>
    <row r="22" spans="1:33" x14ac:dyDescent="0.2">
      <c r="A22" s="8">
        <v>1720</v>
      </c>
      <c r="B22" s="9" t="s">
        <v>85</v>
      </c>
      <c r="C22" s="10">
        <v>43253</v>
      </c>
      <c r="D22" s="11">
        <v>40</v>
      </c>
      <c r="E22" s="12" t="s">
        <v>34</v>
      </c>
      <c r="F22" s="12" t="s">
        <v>35</v>
      </c>
      <c r="G22" s="12" t="s">
        <v>36</v>
      </c>
      <c r="H22" s="12" t="s">
        <v>37</v>
      </c>
      <c r="I22" s="11" t="s">
        <v>105</v>
      </c>
      <c r="J22" s="12" t="s">
        <v>106</v>
      </c>
      <c r="K22" s="13" t="s">
        <v>88</v>
      </c>
      <c r="L22" s="11" t="str">
        <f>"000375"</f>
        <v>000375</v>
      </c>
      <c r="M22" s="10">
        <v>43168</v>
      </c>
      <c r="N22" s="11" t="str">
        <f>"000034"</f>
        <v>000034</v>
      </c>
      <c r="O22" s="10">
        <v>43224</v>
      </c>
      <c r="P22" s="11" t="str">
        <f>"000095"</f>
        <v>000095</v>
      </c>
      <c r="Q22" s="10">
        <v>43228</v>
      </c>
      <c r="R22" s="11">
        <v>18</v>
      </c>
      <c r="S22" s="11" t="str">
        <f>"001799"</f>
        <v>001799</v>
      </c>
      <c r="T22" s="10">
        <v>43244</v>
      </c>
      <c r="U22" s="14">
        <v>49.099960000000003</v>
      </c>
      <c r="V22" s="14">
        <v>4.3551000000000002</v>
      </c>
      <c r="W22" s="14">
        <v>44.744860000000003</v>
      </c>
      <c r="X22" s="11">
        <v>68</v>
      </c>
      <c r="Y22" s="10">
        <v>43253</v>
      </c>
      <c r="Z22" s="11">
        <v>9845235505</v>
      </c>
      <c r="AA22" s="12" t="s">
        <v>89</v>
      </c>
      <c r="AB22" s="11" t="s">
        <v>90</v>
      </c>
      <c r="AC22" s="12" t="s">
        <v>91</v>
      </c>
      <c r="AD22" s="11" t="s">
        <v>44</v>
      </c>
      <c r="AE22" s="12" t="s">
        <v>45</v>
      </c>
      <c r="AF22" s="14">
        <v>0.49099960000000004</v>
      </c>
      <c r="AG22" s="11" t="s">
        <v>92</v>
      </c>
    </row>
    <row r="23" spans="1:33" x14ac:dyDescent="0.2">
      <c r="A23" s="8">
        <v>1721</v>
      </c>
      <c r="B23" s="9" t="s">
        <v>85</v>
      </c>
      <c r="C23" s="10">
        <v>43253</v>
      </c>
      <c r="D23" s="11">
        <v>40</v>
      </c>
      <c r="E23" s="12" t="s">
        <v>34</v>
      </c>
      <c r="F23" s="12" t="s">
        <v>35</v>
      </c>
      <c r="G23" s="12" t="s">
        <v>36</v>
      </c>
      <c r="H23" s="12" t="s">
        <v>37</v>
      </c>
      <c r="I23" s="11" t="s">
        <v>107</v>
      </c>
      <c r="J23" s="12" t="s">
        <v>108</v>
      </c>
      <c r="K23" s="13" t="s">
        <v>88</v>
      </c>
      <c r="L23" s="11" t="str">
        <f>"000374"</f>
        <v>000374</v>
      </c>
      <c r="M23" s="10">
        <v>43168</v>
      </c>
      <c r="N23" s="11" t="str">
        <f>"000030"</f>
        <v>000030</v>
      </c>
      <c r="O23" s="10">
        <v>43223</v>
      </c>
      <c r="P23" s="11" t="str">
        <f>"000096"</f>
        <v>000096</v>
      </c>
      <c r="Q23" s="10">
        <v>43228</v>
      </c>
      <c r="R23" s="11">
        <v>18</v>
      </c>
      <c r="S23" s="11" t="str">
        <f>"001800"</f>
        <v>001800</v>
      </c>
      <c r="T23" s="10">
        <v>43244</v>
      </c>
      <c r="U23" s="14">
        <v>49.036369999999998</v>
      </c>
      <c r="V23" s="14">
        <v>4.3279500000000004</v>
      </c>
      <c r="W23" s="14">
        <v>44.708419999999997</v>
      </c>
      <c r="X23" s="11">
        <v>68</v>
      </c>
      <c r="Y23" s="10">
        <v>43253</v>
      </c>
      <c r="Z23" s="11">
        <v>9845235505</v>
      </c>
      <c r="AA23" s="12" t="s">
        <v>89</v>
      </c>
      <c r="AB23" s="11" t="s">
        <v>90</v>
      </c>
      <c r="AC23" s="12" t="s">
        <v>91</v>
      </c>
      <c r="AD23" s="11" t="s">
        <v>44</v>
      </c>
      <c r="AE23" s="12" t="s">
        <v>45</v>
      </c>
      <c r="AF23" s="14">
        <v>0.49036369999999996</v>
      </c>
      <c r="AG23" s="11" t="s">
        <v>92</v>
      </c>
    </row>
    <row r="24" spans="1:33" x14ac:dyDescent="0.2">
      <c r="A24" s="8">
        <v>1722</v>
      </c>
      <c r="B24" s="9" t="s">
        <v>85</v>
      </c>
      <c r="C24" s="10">
        <v>43253</v>
      </c>
      <c r="D24" s="11">
        <v>40</v>
      </c>
      <c r="E24" s="12" t="s">
        <v>34</v>
      </c>
      <c r="F24" s="12" t="s">
        <v>35</v>
      </c>
      <c r="G24" s="12" t="s">
        <v>36</v>
      </c>
      <c r="H24" s="12" t="s">
        <v>37</v>
      </c>
      <c r="I24" s="11" t="s">
        <v>109</v>
      </c>
      <c r="J24" s="12" t="s">
        <v>110</v>
      </c>
      <c r="K24" s="13" t="s">
        <v>88</v>
      </c>
      <c r="L24" s="11" t="str">
        <f>"000366"</f>
        <v>000366</v>
      </c>
      <c r="M24" s="10">
        <v>43168</v>
      </c>
      <c r="N24" s="11" t="str">
        <f>"000031"</f>
        <v>000031</v>
      </c>
      <c r="O24" s="10">
        <v>43223</v>
      </c>
      <c r="P24" s="11" t="str">
        <f>"000097"</f>
        <v>000097</v>
      </c>
      <c r="Q24" s="10">
        <v>43228</v>
      </c>
      <c r="R24" s="11">
        <v>18</v>
      </c>
      <c r="S24" s="11" t="str">
        <f>"001801"</f>
        <v>001801</v>
      </c>
      <c r="T24" s="10">
        <v>43244</v>
      </c>
      <c r="U24" s="14">
        <v>49.099539999999998</v>
      </c>
      <c r="V24" s="14">
        <v>4.3470599999999999</v>
      </c>
      <c r="W24" s="14">
        <v>44.752479999999998</v>
      </c>
      <c r="X24" s="11">
        <v>68</v>
      </c>
      <c r="Y24" s="10">
        <v>43253</v>
      </c>
      <c r="Z24" s="11">
        <v>9845235505</v>
      </c>
      <c r="AA24" s="12" t="s">
        <v>89</v>
      </c>
      <c r="AB24" s="11" t="s">
        <v>90</v>
      </c>
      <c r="AC24" s="12" t="s">
        <v>91</v>
      </c>
      <c r="AD24" s="11" t="s">
        <v>44</v>
      </c>
      <c r="AE24" s="12" t="s">
        <v>45</v>
      </c>
      <c r="AF24" s="14">
        <v>0.49099539999999997</v>
      </c>
      <c r="AG24" s="11" t="s">
        <v>92</v>
      </c>
    </row>
    <row r="25" spans="1:33" x14ac:dyDescent="0.2">
      <c r="A25" s="8">
        <v>2243</v>
      </c>
      <c r="B25" s="9" t="s">
        <v>85</v>
      </c>
      <c r="C25" s="10">
        <v>43269</v>
      </c>
      <c r="D25" s="11">
        <v>40</v>
      </c>
      <c r="E25" s="12" t="s">
        <v>34</v>
      </c>
      <c r="F25" s="12" t="s">
        <v>35</v>
      </c>
      <c r="G25" s="12" t="s">
        <v>36</v>
      </c>
      <c r="H25" s="12" t="s">
        <v>37</v>
      </c>
      <c r="I25" s="11" t="s">
        <v>111</v>
      </c>
      <c r="J25" s="12" t="s">
        <v>112</v>
      </c>
      <c r="K25" s="13" t="s">
        <v>113</v>
      </c>
      <c r="L25" s="11" t="str">
        <f>"000011"</f>
        <v>000011</v>
      </c>
      <c r="M25" s="10">
        <v>42766</v>
      </c>
      <c r="N25" s="11" t="str">
        <f>"000050"</f>
        <v>000050</v>
      </c>
      <c r="O25" s="10">
        <v>42825</v>
      </c>
      <c r="P25" s="11" t="str">
        <f>"000055"</f>
        <v>000055</v>
      </c>
      <c r="Q25" s="10">
        <v>42825</v>
      </c>
      <c r="R25" s="11">
        <v>17</v>
      </c>
      <c r="S25" s="11" t="str">
        <f>"002519"</f>
        <v>002519</v>
      </c>
      <c r="T25" s="10">
        <v>43264</v>
      </c>
      <c r="U25" s="14">
        <v>49.692459999999997</v>
      </c>
      <c r="V25" s="14">
        <v>6.0127800000000002</v>
      </c>
      <c r="W25" s="14">
        <v>43.679679999999998</v>
      </c>
      <c r="X25" s="11">
        <v>91</v>
      </c>
      <c r="Y25" s="10">
        <v>43269</v>
      </c>
      <c r="Z25" s="11">
        <v>9448279917</v>
      </c>
      <c r="AA25" s="12" t="s">
        <v>114</v>
      </c>
      <c r="AB25" s="11" t="s">
        <v>115</v>
      </c>
      <c r="AC25" s="12" t="s">
        <v>116</v>
      </c>
      <c r="AD25" s="11" t="s">
        <v>117</v>
      </c>
      <c r="AE25" s="12" t="s">
        <v>118</v>
      </c>
      <c r="AF25" s="14">
        <v>0.49692459999999999</v>
      </c>
      <c r="AG25" s="11" t="s">
        <v>46</v>
      </c>
    </row>
    <row r="26" spans="1:33" x14ac:dyDescent="0.2">
      <c r="A26" s="8">
        <v>2814</v>
      </c>
      <c r="B26" s="9" t="s">
        <v>119</v>
      </c>
      <c r="C26" s="10">
        <v>43283</v>
      </c>
      <c r="D26" s="11">
        <v>40</v>
      </c>
      <c r="E26" s="12" t="s">
        <v>34</v>
      </c>
      <c r="F26" s="12" t="s">
        <v>35</v>
      </c>
      <c r="G26" s="12" t="s">
        <v>36</v>
      </c>
      <c r="H26" s="12" t="s">
        <v>37</v>
      </c>
      <c r="I26" s="11" t="s">
        <v>120</v>
      </c>
      <c r="J26" s="12" t="s">
        <v>121</v>
      </c>
      <c r="K26" s="13" t="s">
        <v>122</v>
      </c>
      <c r="L26" s="11" t="str">
        <f>"000253"</f>
        <v>000253</v>
      </c>
      <c r="M26" s="10">
        <v>42461</v>
      </c>
      <c r="N26" s="11" t="str">
        <f>"000198"</f>
        <v>000198</v>
      </c>
      <c r="O26" s="10">
        <v>42667</v>
      </c>
      <c r="P26" s="11" t="str">
        <f>"000333"</f>
        <v>000333</v>
      </c>
      <c r="Q26" s="10">
        <v>42698</v>
      </c>
      <c r="R26" s="11">
        <v>16</v>
      </c>
      <c r="S26" s="11" t="str">
        <f>"003133"</f>
        <v>003133</v>
      </c>
      <c r="T26" s="10">
        <v>43280</v>
      </c>
      <c r="U26" s="14">
        <v>1.4846999999999999</v>
      </c>
      <c r="V26" s="14">
        <v>9.0569999999999998E-2</v>
      </c>
      <c r="W26" s="14">
        <v>1.3941300000000001</v>
      </c>
      <c r="X26" s="11">
        <v>106</v>
      </c>
      <c r="Y26" s="10">
        <v>43283</v>
      </c>
      <c r="Z26" s="11">
        <v>8971497979</v>
      </c>
      <c r="AA26" s="12" t="s">
        <v>123</v>
      </c>
      <c r="AB26" s="11" t="s">
        <v>42</v>
      </c>
      <c r="AC26" s="12" t="s">
        <v>43</v>
      </c>
      <c r="AD26" s="11" t="s">
        <v>44</v>
      </c>
      <c r="AE26" s="12" t="s">
        <v>45</v>
      </c>
      <c r="AF26" s="14">
        <v>1.4846999999999999E-2</v>
      </c>
      <c r="AG26" s="11" t="s">
        <v>46</v>
      </c>
    </row>
    <row r="27" spans="1:33" x14ac:dyDescent="0.2">
      <c r="A27" s="8">
        <v>2993</v>
      </c>
      <c r="B27" s="9" t="s">
        <v>119</v>
      </c>
      <c r="C27" s="10">
        <v>43285</v>
      </c>
      <c r="D27" s="11">
        <v>40</v>
      </c>
      <c r="E27" s="12" t="s">
        <v>34</v>
      </c>
      <c r="F27" s="12" t="s">
        <v>35</v>
      </c>
      <c r="G27" s="12" t="s">
        <v>36</v>
      </c>
      <c r="H27" s="12" t="s">
        <v>37</v>
      </c>
      <c r="I27" s="11" t="s">
        <v>124</v>
      </c>
      <c r="J27" s="12" t="s">
        <v>125</v>
      </c>
      <c r="K27" s="13" t="s">
        <v>40</v>
      </c>
      <c r="L27" s="11" t="str">
        <f>"000187"</f>
        <v>000187</v>
      </c>
      <c r="M27" s="10">
        <v>43116</v>
      </c>
      <c r="N27" s="11" t="str">
        <f>"000051"</f>
        <v>000051</v>
      </c>
      <c r="O27" s="10">
        <v>43253</v>
      </c>
      <c r="P27" s="11" t="str">
        <f>"000132"</f>
        <v>000132</v>
      </c>
      <c r="Q27" s="10">
        <v>43259</v>
      </c>
      <c r="R27" s="11">
        <v>18</v>
      </c>
      <c r="S27" s="11" t="str">
        <f>"003272"</f>
        <v>003272</v>
      </c>
      <c r="T27" s="10">
        <v>43284</v>
      </c>
      <c r="U27" s="14">
        <v>4.9727399999999999</v>
      </c>
      <c r="V27" s="14">
        <v>0.40278000000000003</v>
      </c>
      <c r="W27" s="14">
        <v>4.56996</v>
      </c>
      <c r="X27" s="11">
        <v>111</v>
      </c>
      <c r="Y27" s="10">
        <v>43285</v>
      </c>
      <c r="Z27" s="11">
        <v>8904904737</v>
      </c>
      <c r="AA27" s="12" t="s">
        <v>126</v>
      </c>
      <c r="AB27" s="11" t="s">
        <v>127</v>
      </c>
      <c r="AC27" s="12" t="s">
        <v>128</v>
      </c>
      <c r="AD27" s="11" t="s">
        <v>44</v>
      </c>
      <c r="AE27" s="12" t="s">
        <v>45</v>
      </c>
      <c r="AF27" s="14">
        <v>4.9727399999999998E-2</v>
      </c>
      <c r="AG27" s="11" t="s">
        <v>92</v>
      </c>
    </row>
    <row r="28" spans="1:33" x14ac:dyDescent="0.2">
      <c r="A28" s="8">
        <v>2994</v>
      </c>
      <c r="B28" s="9" t="s">
        <v>119</v>
      </c>
      <c r="C28" s="10">
        <v>43285</v>
      </c>
      <c r="D28" s="11">
        <v>40</v>
      </c>
      <c r="E28" s="12" t="s">
        <v>34</v>
      </c>
      <c r="F28" s="12" t="s">
        <v>35</v>
      </c>
      <c r="G28" s="12" t="s">
        <v>36</v>
      </c>
      <c r="H28" s="12" t="s">
        <v>37</v>
      </c>
      <c r="I28" s="11" t="s">
        <v>129</v>
      </c>
      <c r="J28" s="12" t="s">
        <v>130</v>
      </c>
      <c r="K28" s="13" t="s">
        <v>77</v>
      </c>
      <c r="L28" s="11" t="str">
        <f>"000191"</f>
        <v>000191</v>
      </c>
      <c r="M28" s="10">
        <v>43117</v>
      </c>
      <c r="N28" s="11" t="str">
        <f>"000052"</f>
        <v>000052</v>
      </c>
      <c r="O28" s="10">
        <v>43253</v>
      </c>
      <c r="P28" s="11" t="str">
        <f>"000133"</f>
        <v>000133</v>
      </c>
      <c r="Q28" s="10">
        <v>43259</v>
      </c>
      <c r="R28" s="11">
        <v>18</v>
      </c>
      <c r="S28" s="11" t="str">
        <f>"003273"</f>
        <v>003273</v>
      </c>
      <c r="T28" s="10">
        <v>43284</v>
      </c>
      <c r="U28" s="14">
        <v>4.9935499999999999</v>
      </c>
      <c r="V28" s="14">
        <v>0.40448000000000001</v>
      </c>
      <c r="W28" s="14">
        <v>4.5890700000000004</v>
      </c>
      <c r="X28" s="11">
        <v>111</v>
      </c>
      <c r="Y28" s="10">
        <v>43285</v>
      </c>
      <c r="Z28" s="11">
        <v>8904904737</v>
      </c>
      <c r="AA28" s="12" t="s">
        <v>126</v>
      </c>
      <c r="AB28" s="11" t="s">
        <v>131</v>
      </c>
      <c r="AC28" s="12" t="s">
        <v>132</v>
      </c>
      <c r="AD28" s="11" t="s">
        <v>44</v>
      </c>
      <c r="AE28" s="12" t="s">
        <v>45</v>
      </c>
      <c r="AF28" s="14">
        <v>4.9935500000000001E-2</v>
      </c>
      <c r="AG28" s="11" t="s">
        <v>92</v>
      </c>
    </row>
    <row r="29" spans="1:33" x14ac:dyDescent="0.2">
      <c r="A29" s="8">
        <v>2995</v>
      </c>
      <c r="B29" s="9" t="s">
        <v>119</v>
      </c>
      <c r="C29" s="10">
        <v>43285</v>
      </c>
      <c r="D29" s="11">
        <v>40</v>
      </c>
      <c r="E29" s="12" t="s">
        <v>34</v>
      </c>
      <c r="F29" s="12" t="s">
        <v>35</v>
      </c>
      <c r="G29" s="12" t="s">
        <v>36</v>
      </c>
      <c r="H29" s="12" t="s">
        <v>37</v>
      </c>
      <c r="I29" s="11" t="s">
        <v>133</v>
      </c>
      <c r="J29" s="12" t="s">
        <v>134</v>
      </c>
      <c r="K29" s="13" t="s">
        <v>113</v>
      </c>
      <c r="L29" s="11" t="str">
        <f>"000188"</f>
        <v>000188</v>
      </c>
      <c r="M29" s="10">
        <v>43116</v>
      </c>
      <c r="N29" s="11" t="str">
        <f>"000058"</f>
        <v>000058</v>
      </c>
      <c r="O29" s="10">
        <v>43259</v>
      </c>
      <c r="P29" s="11" t="str">
        <f>"000147"</f>
        <v>000147</v>
      </c>
      <c r="Q29" s="10">
        <v>43264</v>
      </c>
      <c r="R29" s="11">
        <v>18</v>
      </c>
      <c r="S29" s="11" t="str">
        <f>"003274"</f>
        <v>003274</v>
      </c>
      <c r="T29" s="10">
        <v>43284</v>
      </c>
      <c r="U29" s="14">
        <v>9.9814399999999992</v>
      </c>
      <c r="V29" s="14">
        <v>0.80849000000000004</v>
      </c>
      <c r="W29" s="14">
        <v>9.1729500000000002</v>
      </c>
      <c r="X29" s="11">
        <v>111</v>
      </c>
      <c r="Y29" s="10">
        <v>43285</v>
      </c>
      <c r="Z29" s="11">
        <v>8904904737</v>
      </c>
      <c r="AA29" s="12" t="s">
        <v>135</v>
      </c>
      <c r="AB29" s="11" t="s">
        <v>136</v>
      </c>
      <c r="AC29" s="12" t="s">
        <v>137</v>
      </c>
      <c r="AD29" s="11" t="s">
        <v>44</v>
      </c>
      <c r="AE29" s="12" t="s">
        <v>45</v>
      </c>
      <c r="AF29" s="14">
        <v>9.9814399999999998E-2</v>
      </c>
      <c r="AG29" s="11" t="s">
        <v>92</v>
      </c>
    </row>
    <row r="30" spans="1:33" x14ac:dyDescent="0.2">
      <c r="A30" s="8">
        <v>2996</v>
      </c>
      <c r="B30" s="9" t="s">
        <v>119</v>
      </c>
      <c r="C30" s="10">
        <v>43285</v>
      </c>
      <c r="D30" s="11">
        <v>40</v>
      </c>
      <c r="E30" s="12" t="s">
        <v>34</v>
      </c>
      <c r="F30" s="12" t="s">
        <v>35</v>
      </c>
      <c r="G30" s="12" t="s">
        <v>36</v>
      </c>
      <c r="H30" s="12" t="s">
        <v>37</v>
      </c>
      <c r="I30" s="11" t="s">
        <v>138</v>
      </c>
      <c r="J30" s="12" t="s">
        <v>139</v>
      </c>
      <c r="K30" s="13" t="s">
        <v>113</v>
      </c>
      <c r="L30" s="11" t="str">
        <f>"000193"</f>
        <v>000193</v>
      </c>
      <c r="M30" s="10">
        <v>43117</v>
      </c>
      <c r="N30" s="11" t="str">
        <f>"000047"</f>
        <v>000047</v>
      </c>
      <c r="O30" s="10">
        <v>43239</v>
      </c>
      <c r="P30" s="11" t="str">
        <f>"000108"</f>
        <v>000108</v>
      </c>
      <c r="Q30" s="10">
        <v>43249</v>
      </c>
      <c r="R30" s="11">
        <v>18</v>
      </c>
      <c r="S30" s="11" t="str">
        <f>"003275"</f>
        <v>003275</v>
      </c>
      <c r="T30" s="10">
        <v>43284</v>
      </c>
      <c r="U30" s="14">
        <v>9.6621600000000001</v>
      </c>
      <c r="V30" s="14">
        <v>0.99763000000000002</v>
      </c>
      <c r="W30" s="14">
        <v>8.6645299999999992</v>
      </c>
      <c r="X30" s="11">
        <v>111</v>
      </c>
      <c r="Y30" s="10">
        <v>43285</v>
      </c>
      <c r="Z30" s="11">
        <v>8904904737</v>
      </c>
      <c r="AA30" s="12" t="s">
        <v>135</v>
      </c>
      <c r="AB30" s="11" t="s">
        <v>140</v>
      </c>
      <c r="AC30" s="12" t="s">
        <v>141</v>
      </c>
      <c r="AD30" s="11" t="s">
        <v>44</v>
      </c>
      <c r="AE30" s="12" t="s">
        <v>45</v>
      </c>
      <c r="AF30" s="14">
        <v>9.6621600000000002E-2</v>
      </c>
      <c r="AG30" s="11" t="s">
        <v>92</v>
      </c>
    </row>
    <row r="31" spans="1:33" x14ac:dyDescent="0.2">
      <c r="A31" s="8">
        <v>2997</v>
      </c>
      <c r="B31" s="9" t="s">
        <v>119</v>
      </c>
      <c r="C31" s="10">
        <v>43285</v>
      </c>
      <c r="D31" s="11">
        <v>40</v>
      </c>
      <c r="E31" s="12" t="s">
        <v>34</v>
      </c>
      <c r="F31" s="12" t="s">
        <v>35</v>
      </c>
      <c r="G31" s="12" t="s">
        <v>36</v>
      </c>
      <c r="H31" s="12" t="s">
        <v>37</v>
      </c>
      <c r="I31" s="11" t="s">
        <v>142</v>
      </c>
      <c r="J31" s="12" t="s">
        <v>143</v>
      </c>
      <c r="K31" s="13" t="s">
        <v>144</v>
      </c>
      <c r="L31" s="11" t="str">
        <f>"000189"</f>
        <v>000189</v>
      </c>
      <c r="M31" s="10">
        <v>43116</v>
      </c>
      <c r="N31" s="11" t="str">
        <f>"000045"</f>
        <v>000045</v>
      </c>
      <c r="O31" s="10">
        <v>43239</v>
      </c>
      <c r="P31" s="11" t="str">
        <f>"000107"</f>
        <v>000107</v>
      </c>
      <c r="Q31" s="10">
        <v>43249</v>
      </c>
      <c r="R31" s="11">
        <v>18</v>
      </c>
      <c r="S31" s="11" t="str">
        <f>"003276"</f>
        <v>003276</v>
      </c>
      <c r="T31" s="10">
        <v>43284</v>
      </c>
      <c r="U31" s="14">
        <v>4.9635499999999997</v>
      </c>
      <c r="V31" s="14">
        <v>0.50505</v>
      </c>
      <c r="W31" s="14">
        <v>4.4584999999999999</v>
      </c>
      <c r="X31" s="11">
        <v>111</v>
      </c>
      <c r="Y31" s="10">
        <v>43285</v>
      </c>
      <c r="Z31" s="11">
        <v>8904904737</v>
      </c>
      <c r="AA31" s="12" t="s">
        <v>135</v>
      </c>
      <c r="AB31" s="11" t="s">
        <v>145</v>
      </c>
      <c r="AC31" s="12" t="s">
        <v>146</v>
      </c>
      <c r="AD31" s="11" t="s">
        <v>44</v>
      </c>
      <c r="AE31" s="12" t="s">
        <v>45</v>
      </c>
      <c r="AF31" s="14">
        <v>4.9635499999999999E-2</v>
      </c>
      <c r="AG31" s="11" t="s">
        <v>92</v>
      </c>
    </row>
    <row r="32" spans="1:33" x14ac:dyDescent="0.2">
      <c r="A32" s="8">
        <v>2998</v>
      </c>
      <c r="B32" s="9" t="s">
        <v>119</v>
      </c>
      <c r="C32" s="10">
        <v>43285</v>
      </c>
      <c r="D32" s="11">
        <v>40</v>
      </c>
      <c r="E32" s="12" t="s">
        <v>34</v>
      </c>
      <c r="F32" s="12" t="s">
        <v>35</v>
      </c>
      <c r="G32" s="12" t="s">
        <v>36</v>
      </c>
      <c r="H32" s="12" t="s">
        <v>37</v>
      </c>
      <c r="I32" s="11" t="s">
        <v>147</v>
      </c>
      <c r="J32" s="12" t="s">
        <v>148</v>
      </c>
      <c r="K32" s="13" t="s">
        <v>149</v>
      </c>
      <c r="L32" s="11" t="str">
        <f>"000190"</f>
        <v>000190</v>
      </c>
      <c r="M32" s="10">
        <v>43117</v>
      </c>
      <c r="N32" s="11" t="str">
        <f>"000048"</f>
        <v>000048</v>
      </c>
      <c r="O32" s="10">
        <v>43246</v>
      </c>
      <c r="P32" s="11" t="str">
        <f>"000121"</f>
        <v>000121</v>
      </c>
      <c r="Q32" s="10">
        <v>43257</v>
      </c>
      <c r="R32" s="11">
        <v>18</v>
      </c>
      <c r="S32" s="11" t="str">
        <f>"003277"</f>
        <v>003277</v>
      </c>
      <c r="T32" s="10">
        <v>43284</v>
      </c>
      <c r="U32" s="14">
        <v>19.98413</v>
      </c>
      <c r="V32" s="14">
        <v>1.6187100000000001</v>
      </c>
      <c r="W32" s="14">
        <v>18.36542</v>
      </c>
      <c r="X32" s="11">
        <v>111</v>
      </c>
      <c r="Y32" s="10">
        <v>43285</v>
      </c>
      <c r="Z32" s="11">
        <v>8904904737</v>
      </c>
      <c r="AA32" s="12" t="s">
        <v>126</v>
      </c>
      <c r="AB32" s="11" t="s">
        <v>150</v>
      </c>
      <c r="AC32" s="12" t="s">
        <v>151</v>
      </c>
      <c r="AD32" s="11" t="s">
        <v>44</v>
      </c>
      <c r="AE32" s="12" t="s">
        <v>45</v>
      </c>
      <c r="AF32" s="14">
        <v>0.1998413</v>
      </c>
      <c r="AG32" s="11" t="s">
        <v>92</v>
      </c>
    </row>
    <row r="33" spans="1:33" x14ac:dyDescent="0.2">
      <c r="A33" s="8">
        <v>2999</v>
      </c>
      <c r="B33" s="9" t="s">
        <v>119</v>
      </c>
      <c r="C33" s="10">
        <v>43285</v>
      </c>
      <c r="D33" s="11">
        <v>40</v>
      </c>
      <c r="E33" s="12" t="s">
        <v>34</v>
      </c>
      <c r="F33" s="12" t="s">
        <v>35</v>
      </c>
      <c r="G33" s="12" t="s">
        <v>36</v>
      </c>
      <c r="H33" s="12" t="s">
        <v>37</v>
      </c>
      <c r="I33" s="11" t="s">
        <v>152</v>
      </c>
      <c r="J33" s="12" t="s">
        <v>153</v>
      </c>
      <c r="K33" s="13" t="s">
        <v>122</v>
      </c>
      <c r="L33" s="11" t="str">
        <f>"000195"</f>
        <v>000195</v>
      </c>
      <c r="M33" s="10">
        <v>43117</v>
      </c>
      <c r="N33" s="11" t="str">
        <f>"000049"</f>
        <v>000049</v>
      </c>
      <c r="O33" s="10">
        <v>43246</v>
      </c>
      <c r="P33" s="11" t="str">
        <f>"000110"</f>
        <v>000110</v>
      </c>
      <c r="Q33" s="10">
        <v>43249</v>
      </c>
      <c r="R33" s="11">
        <v>18</v>
      </c>
      <c r="S33" s="11" t="str">
        <f>"003278"</f>
        <v>003278</v>
      </c>
      <c r="T33" s="10">
        <v>43284</v>
      </c>
      <c r="U33" s="14">
        <v>14.962759999999999</v>
      </c>
      <c r="V33" s="14">
        <v>1.49499</v>
      </c>
      <c r="W33" s="14">
        <v>13.46777</v>
      </c>
      <c r="X33" s="11">
        <v>111</v>
      </c>
      <c r="Y33" s="10">
        <v>43285</v>
      </c>
      <c r="Z33" s="11">
        <v>8904904737</v>
      </c>
      <c r="AA33" s="12" t="s">
        <v>126</v>
      </c>
      <c r="AB33" s="11" t="s">
        <v>154</v>
      </c>
      <c r="AC33" s="12" t="s">
        <v>155</v>
      </c>
      <c r="AD33" s="11" t="s">
        <v>44</v>
      </c>
      <c r="AE33" s="12" t="s">
        <v>45</v>
      </c>
      <c r="AF33" s="14">
        <v>0.1496276</v>
      </c>
      <c r="AG33" s="11" t="s">
        <v>92</v>
      </c>
    </row>
    <row r="34" spans="1:33" x14ac:dyDescent="0.2">
      <c r="A34" s="8">
        <v>3048</v>
      </c>
      <c r="B34" s="9" t="s">
        <v>119</v>
      </c>
      <c r="C34" s="10">
        <v>43287</v>
      </c>
      <c r="D34" s="11">
        <v>40</v>
      </c>
      <c r="E34" s="12" t="s">
        <v>34</v>
      </c>
      <c r="F34" s="12" t="s">
        <v>35</v>
      </c>
      <c r="G34" s="12" t="s">
        <v>36</v>
      </c>
      <c r="H34" s="12" t="s">
        <v>37</v>
      </c>
      <c r="I34" s="11" t="s">
        <v>38</v>
      </c>
      <c r="J34" s="12" t="s">
        <v>39</v>
      </c>
      <c r="K34" s="13" t="s">
        <v>77</v>
      </c>
      <c r="L34" s="11" t="str">
        <f>"000217"</f>
        <v>000217</v>
      </c>
      <c r="M34" s="10">
        <v>42424</v>
      </c>
      <c r="N34" s="11" t="str">
        <f>"000197"</f>
        <v>000197</v>
      </c>
      <c r="O34" s="10">
        <v>42667</v>
      </c>
      <c r="P34" s="11" t="str">
        <f>"000401"</f>
        <v>000401</v>
      </c>
      <c r="Q34" s="10">
        <v>42704</v>
      </c>
      <c r="R34" s="11">
        <v>16</v>
      </c>
      <c r="S34" s="11" t="str">
        <f>"003266"</f>
        <v>003266</v>
      </c>
      <c r="T34" s="10">
        <v>43283</v>
      </c>
      <c r="U34" s="14">
        <v>2.7182499999999998</v>
      </c>
      <c r="V34" s="14">
        <v>0.16581000000000001</v>
      </c>
      <c r="W34" s="14">
        <v>2.5524399999999998</v>
      </c>
      <c r="X34" s="11">
        <v>113</v>
      </c>
      <c r="Y34" s="10">
        <v>43287</v>
      </c>
      <c r="Z34" s="11">
        <v>9731449749</v>
      </c>
      <c r="AA34" s="12" t="s">
        <v>41</v>
      </c>
      <c r="AB34" s="11" t="s">
        <v>42</v>
      </c>
      <c r="AC34" s="12" t="s">
        <v>43</v>
      </c>
      <c r="AD34" s="11" t="s">
        <v>44</v>
      </c>
      <c r="AE34" s="12" t="s">
        <v>45</v>
      </c>
      <c r="AF34" s="14">
        <v>2.7182499999999998E-2</v>
      </c>
      <c r="AG34" s="11" t="s">
        <v>46</v>
      </c>
    </row>
    <row r="35" spans="1:33" x14ac:dyDescent="0.2">
      <c r="A35" s="8">
        <v>3049</v>
      </c>
      <c r="B35" s="9" t="s">
        <v>119</v>
      </c>
      <c r="C35" s="10">
        <v>43287</v>
      </c>
      <c r="D35" s="11">
        <v>40</v>
      </c>
      <c r="E35" s="12" t="s">
        <v>34</v>
      </c>
      <c r="F35" s="12" t="s">
        <v>35</v>
      </c>
      <c r="G35" s="12" t="s">
        <v>36</v>
      </c>
      <c r="H35" s="12" t="s">
        <v>37</v>
      </c>
      <c r="I35" s="11" t="s">
        <v>156</v>
      </c>
      <c r="J35" s="12" t="s">
        <v>157</v>
      </c>
      <c r="K35" s="13" t="s">
        <v>88</v>
      </c>
      <c r="L35" s="11" t="str">
        <f>"000192"</f>
        <v>000192</v>
      </c>
      <c r="M35" s="10">
        <v>43117</v>
      </c>
      <c r="N35" s="11" t="str">
        <f>"000046"</f>
        <v>000046</v>
      </c>
      <c r="O35" s="10">
        <v>43239</v>
      </c>
      <c r="P35" s="11" t="str">
        <f>"000109"</f>
        <v>000109</v>
      </c>
      <c r="Q35" s="10">
        <v>43249</v>
      </c>
      <c r="R35" s="11">
        <v>18</v>
      </c>
      <c r="S35" s="11" t="str">
        <f>"003341"</f>
        <v>003341</v>
      </c>
      <c r="T35" s="10">
        <v>43286</v>
      </c>
      <c r="U35" s="14">
        <v>14.99034</v>
      </c>
      <c r="V35" s="14">
        <v>1.53721</v>
      </c>
      <c r="W35" s="14">
        <v>13.45313</v>
      </c>
      <c r="X35" s="11">
        <v>114</v>
      </c>
      <c r="Y35" s="10">
        <v>43287</v>
      </c>
      <c r="Z35" s="11">
        <v>8904904737</v>
      </c>
      <c r="AA35" s="12" t="s">
        <v>126</v>
      </c>
      <c r="AB35" s="11" t="s">
        <v>158</v>
      </c>
      <c r="AC35" s="12" t="s">
        <v>159</v>
      </c>
      <c r="AD35" s="11" t="s">
        <v>44</v>
      </c>
      <c r="AE35" s="12" t="s">
        <v>45</v>
      </c>
      <c r="AF35" s="14">
        <v>0.14990339999999999</v>
      </c>
      <c r="AG35" s="11" t="s">
        <v>92</v>
      </c>
    </row>
    <row r="36" spans="1:33" x14ac:dyDescent="0.2">
      <c r="A36" s="8">
        <v>3468</v>
      </c>
      <c r="B36" s="9" t="s">
        <v>119</v>
      </c>
      <c r="C36" s="10">
        <v>43299</v>
      </c>
      <c r="D36" s="11">
        <v>40</v>
      </c>
      <c r="E36" s="12" t="s">
        <v>34</v>
      </c>
      <c r="F36" s="12" t="s">
        <v>35</v>
      </c>
      <c r="G36" s="12" t="s">
        <v>36</v>
      </c>
      <c r="H36" s="12" t="s">
        <v>37</v>
      </c>
      <c r="I36" s="11" t="s">
        <v>160</v>
      </c>
      <c r="J36" s="12" t="s">
        <v>161</v>
      </c>
      <c r="K36" s="13" t="s">
        <v>40</v>
      </c>
      <c r="L36" s="11" t="str">
        <f>""</f>
        <v/>
      </c>
      <c r="M36" s="10">
        <v>119</v>
      </c>
      <c r="N36" s="11" t="str">
        <f>"000001"</f>
        <v>000001</v>
      </c>
      <c r="O36" s="10">
        <v>42825</v>
      </c>
      <c r="P36" s="11" t="str">
        <f>"000004"</f>
        <v>000004</v>
      </c>
      <c r="Q36" s="10">
        <v>42945</v>
      </c>
      <c r="R36" s="11">
        <v>16</v>
      </c>
      <c r="S36" s="11" t="str">
        <f>"003788"</f>
        <v>003788</v>
      </c>
      <c r="T36" s="10">
        <v>43294</v>
      </c>
      <c r="U36" s="14">
        <v>0.49554999999999999</v>
      </c>
      <c r="V36" s="14">
        <v>3.4729999999999997E-2</v>
      </c>
      <c r="W36" s="14">
        <v>0.46082000000000001</v>
      </c>
      <c r="X36" s="11">
        <v>129</v>
      </c>
      <c r="Y36" s="10">
        <v>43299</v>
      </c>
      <c r="Z36" s="11">
        <v>8147004318</v>
      </c>
      <c r="AA36" s="12" t="s">
        <v>162</v>
      </c>
      <c r="AB36" s="11" t="s">
        <v>42</v>
      </c>
      <c r="AC36" s="12" t="s">
        <v>43</v>
      </c>
      <c r="AD36" s="11" t="s">
        <v>44</v>
      </c>
      <c r="AE36" s="12" t="s">
        <v>45</v>
      </c>
      <c r="AF36" s="14">
        <v>4.9554999999999998E-3</v>
      </c>
      <c r="AG36" s="11" t="s">
        <v>46</v>
      </c>
    </row>
    <row r="37" spans="1:33" x14ac:dyDescent="0.2">
      <c r="A37" s="8">
        <v>3665</v>
      </c>
      <c r="B37" s="9" t="s">
        <v>119</v>
      </c>
      <c r="C37" s="10">
        <v>43300</v>
      </c>
      <c r="D37" s="11">
        <v>40</v>
      </c>
      <c r="E37" s="12" t="s">
        <v>34</v>
      </c>
      <c r="F37" s="12" t="s">
        <v>35</v>
      </c>
      <c r="G37" s="12" t="s">
        <v>36</v>
      </c>
      <c r="H37" s="12" t="s">
        <v>37</v>
      </c>
      <c r="I37" s="11" t="s">
        <v>163</v>
      </c>
      <c r="J37" s="12" t="s">
        <v>164</v>
      </c>
      <c r="K37" s="13" t="s">
        <v>49</v>
      </c>
      <c r="L37" s="11" t="str">
        <f>"000002"</f>
        <v>000002</v>
      </c>
      <c r="M37" s="10">
        <v>41257</v>
      </c>
      <c r="N37" s="11" t="str">
        <f>"000004"</f>
        <v>000004</v>
      </c>
      <c r="O37" s="10">
        <v>43273</v>
      </c>
      <c r="P37" s="11" t="str">
        <f>"000005"</f>
        <v>000005</v>
      </c>
      <c r="Q37" s="10">
        <v>43273</v>
      </c>
      <c r="R37" s="11">
        <v>12</v>
      </c>
      <c r="S37" s="11" t="str">
        <f>"003897"</f>
        <v>003897</v>
      </c>
      <c r="T37" s="10">
        <v>43297</v>
      </c>
      <c r="U37" s="14">
        <v>54.146000000000001</v>
      </c>
      <c r="V37" s="14">
        <v>2.0946500000000001</v>
      </c>
      <c r="W37" s="14">
        <v>52.051349999999999</v>
      </c>
      <c r="X37" s="11">
        <v>131</v>
      </c>
      <c r="Y37" s="10">
        <v>43300</v>
      </c>
      <c r="Z37" s="11">
        <v>9844078994</v>
      </c>
      <c r="AA37" s="12" t="s">
        <v>165</v>
      </c>
      <c r="AB37" s="11" t="s">
        <v>166</v>
      </c>
      <c r="AC37" s="12" t="s">
        <v>167</v>
      </c>
      <c r="AD37" s="11" t="s">
        <v>168</v>
      </c>
      <c r="AE37" s="12" t="s">
        <v>169</v>
      </c>
      <c r="AF37" s="14">
        <v>0.54146000000000005</v>
      </c>
      <c r="AG37" s="11" t="s">
        <v>92</v>
      </c>
    </row>
    <row r="38" spans="1:33" x14ac:dyDescent="0.2">
      <c r="A38" s="8">
        <v>3666</v>
      </c>
      <c r="B38" s="9" t="s">
        <v>119</v>
      </c>
      <c r="C38" s="10">
        <v>43300</v>
      </c>
      <c r="D38" s="11">
        <v>40</v>
      </c>
      <c r="E38" s="12" t="s">
        <v>34</v>
      </c>
      <c r="F38" s="12" t="s">
        <v>35</v>
      </c>
      <c r="G38" s="12" t="s">
        <v>36</v>
      </c>
      <c r="H38" s="12" t="s">
        <v>37</v>
      </c>
      <c r="I38" s="11" t="s">
        <v>170</v>
      </c>
      <c r="J38" s="12" t="s">
        <v>171</v>
      </c>
      <c r="K38" s="13" t="s">
        <v>122</v>
      </c>
      <c r="L38" s="11" t="str">
        <f>"000088"</f>
        <v>000088</v>
      </c>
      <c r="M38" s="10">
        <v>42888</v>
      </c>
      <c r="N38" s="11" t="str">
        <f>"000078"</f>
        <v>000078</v>
      </c>
      <c r="O38" s="10">
        <v>42908</v>
      </c>
      <c r="P38" s="11" t="str">
        <f>"000125"</f>
        <v>000125</v>
      </c>
      <c r="Q38" s="10">
        <v>42909</v>
      </c>
      <c r="R38" s="11">
        <v>17</v>
      </c>
      <c r="S38" s="11" t="str">
        <f>"004128"</f>
        <v>004128</v>
      </c>
      <c r="T38" s="10">
        <v>42938</v>
      </c>
      <c r="U38" s="14">
        <v>0.91461000000000003</v>
      </c>
      <c r="V38" s="14">
        <v>9.146E-2</v>
      </c>
      <c r="W38" s="14">
        <v>0.82315000000000005</v>
      </c>
      <c r="X38" s="11">
        <v>133</v>
      </c>
      <c r="Y38" s="10">
        <v>43300</v>
      </c>
      <c r="Z38" s="11">
        <v>9538136111</v>
      </c>
      <c r="AA38" s="12" t="s">
        <v>172</v>
      </c>
      <c r="AB38" s="11" t="s">
        <v>51</v>
      </c>
      <c r="AC38" s="12" t="s">
        <v>52</v>
      </c>
      <c r="AD38" s="11" t="s">
        <v>44</v>
      </c>
      <c r="AE38" s="12" t="s">
        <v>45</v>
      </c>
      <c r="AF38" s="14">
        <v>9.1461000000000008E-3</v>
      </c>
      <c r="AG38" s="11" t="s">
        <v>46</v>
      </c>
    </row>
    <row r="39" spans="1:33" x14ac:dyDescent="0.2">
      <c r="A39" s="8">
        <v>3667</v>
      </c>
      <c r="B39" s="9" t="s">
        <v>119</v>
      </c>
      <c r="C39" s="10">
        <v>43300</v>
      </c>
      <c r="D39" s="11">
        <v>40</v>
      </c>
      <c r="E39" s="12" t="s">
        <v>34</v>
      </c>
      <c r="F39" s="12" t="s">
        <v>35</v>
      </c>
      <c r="G39" s="12" t="s">
        <v>36</v>
      </c>
      <c r="H39" s="12" t="s">
        <v>37</v>
      </c>
      <c r="I39" s="11" t="s">
        <v>173</v>
      </c>
      <c r="J39" s="12" t="s">
        <v>174</v>
      </c>
      <c r="K39" s="13" t="s">
        <v>77</v>
      </c>
      <c r="L39" s="11" t="str">
        <f>"000194"</f>
        <v>000194</v>
      </c>
      <c r="M39" s="10">
        <v>43117</v>
      </c>
      <c r="N39" s="11" t="str">
        <f>"000054"</f>
        <v>000054</v>
      </c>
      <c r="O39" s="10">
        <v>43256</v>
      </c>
      <c r="P39" s="11" t="str">
        <f>"000146"</f>
        <v>000146</v>
      </c>
      <c r="Q39" s="10">
        <v>43262</v>
      </c>
      <c r="R39" s="11">
        <v>18</v>
      </c>
      <c r="S39" s="11" t="str">
        <f>"003743"</f>
        <v>003743</v>
      </c>
      <c r="T39" s="10">
        <v>43294</v>
      </c>
      <c r="U39" s="14">
        <v>14.98574</v>
      </c>
      <c r="V39" s="14">
        <v>1.3918200000000001</v>
      </c>
      <c r="W39" s="14">
        <v>13.593920000000001</v>
      </c>
      <c r="X39" s="11">
        <v>133</v>
      </c>
      <c r="Y39" s="10">
        <v>43300</v>
      </c>
      <c r="Z39" s="11">
        <v>8904904737</v>
      </c>
      <c r="AA39" s="12" t="s">
        <v>126</v>
      </c>
      <c r="AB39" s="11" t="s">
        <v>175</v>
      </c>
      <c r="AC39" s="12" t="s">
        <v>176</v>
      </c>
      <c r="AD39" s="11" t="s">
        <v>44</v>
      </c>
      <c r="AE39" s="12" t="s">
        <v>45</v>
      </c>
      <c r="AF39" s="14">
        <v>0.1498574</v>
      </c>
      <c r="AG39" s="11" t="s">
        <v>92</v>
      </c>
    </row>
    <row r="40" spans="1:33" x14ac:dyDescent="0.2">
      <c r="A40" s="8">
        <v>3827</v>
      </c>
      <c r="B40" s="9" t="s">
        <v>119</v>
      </c>
      <c r="C40" s="10">
        <v>43304</v>
      </c>
      <c r="D40" s="11">
        <v>40</v>
      </c>
      <c r="E40" s="12" t="s">
        <v>34</v>
      </c>
      <c r="F40" s="12" t="s">
        <v>35</v>
      </c>
      <c r="G40" s="12" t="s">
        <v>36</v>
      </c>
      <c r="H40" s="12" t="s">
        <v>37</v>
      </c>
      <c r="I40" s="11" t="s">
        <v>177</v>
      </c>
      <c r="J40" s="12" t="s">
        <v>178</v>
      </c>
      <c r="K40" s="13" t="s">
        <v>113</v>
      </c>
      <c r="L40" s="11" t="str">
        <f>"000016"</f>
        <v>000016</v>
      </c>
      <c r="M40" s="10">
        <v>43264</v>
      </c>
      <c r="N40" s="11" t="str">
        <f>"000004"</f>
        <v>000004</v>
      </c>
      <c r="O40" s="10">
        <v>43270</v>
      </c>
      <c r="P40" s="11" t="str">
        <f>"000046"</f>
        <v>000046</v>
      </c>
      <c r="Q40" s="10">
        <v>43271</v>
      </c>
      <c r="R40" s="11">
        <v>17</v>
      </c>
      <c r="S40" s="11" t="str">
        <f>"004076"</f>
        <v>004076</v>
      </c>
      <c r="T40" s="10">
        <v>43301</v>
      </c>
      <c r="U40" s="14">
        <v>99.733500000000006</v>
      </c>
      <c r="V40" s="14">
        <v>8.9339999999999993</v>
      </c>
      <c r="W40" s="14">
        <v>90.799499999999995</v>
      </c>
      <c r="X40" s="11">
        <v>137</v>
      </c>
      <c r="Y40" s="10">
        <v>43304</v>
      </c>
      <c r="Z40" s="11">
        <v>8123112888</v>
      </c>
      <c r="AA40" s="12" t="s">
        <v>179</v>
      </c>
      <c r="AB40" s="11" t="s">
        <v>51</v>
      </c>
      <c r="AC40" s="12" t="s">
        <v>52</v>
      </c>
      <c r="AD40" s="11" t="s">
        <v>53</v>
      </c>
      <c r="AE40" s="12" t="s">
        <v>54</v>
      </c>
      <c r="AF40" s="14">
        <v>0.99733500000000008</v>
      </c>
      <c r="AG40" s="11" t="s">
        <v>180</v>
      </c>
    </row>
    <row r="41" spans="1:33" x14ac:dyDescent="0.2">
      <c r="A41" s="8">
        <v>3968</v>
      </c>
      <c r="B41" s="9" t="s">
        <v>119</v>
      </c>
      <c r="C41" s="10">
        <v>43307</v>
      </c>
      <c r="D41" s="11">
        <v>40</v>
      </c>
      <c r="E41" s="12" t="s">
        <v>34</v>
      </c>
      <c r="F41" s="12" t="s">
        <v>35</v>
      </c>
      <c r="G41" s="12" t="s">
        <v>36</v>
      </c>
      <c r="H41" s="12" t="s">
        <v>37</v>
      </c>
      <c r="I41" s="11" t="s">
        <v>181</v>
      </c>
      <c r="J41" s="12" t="s">
        <v>182</v>
      </c>
      <c r="K41" s="13" t="s">
        <v>113</v>
      </c>
      <c r="L41" s="11" t="str">
        <f>"000136"</f>
        <v>000136</v>
      </c>
      <c r="M41" s="10">
        <v>43244</v>
      </c>
      <c r="N41" s="11" t="str">
        <f>"000076"</f>
        <v>000076</v>
      </c>
      <c r="O41" s="10">
        <v>43265</v>
      </c>
      <c r="P41" s="11" t="str">
        <f>"000155"</f>
        <v>000155</v>
      </c>
      <c r="Q41" s="10">
        <v>43265</v>
      </c>
      <c r="R41" s="11">
        <v>18</v>
      </c>
      <c r="S41" s="11" t="str">
        <f>"004332"</f>
        <v>004332</v>
      </c>
      <c r="T41" s="10">
        <v>43306</v>
      </c>
      <c r="U41" s="14">
        <v>49.042000000000002</v>
      </c>
      <c r="V41" s="14">
        <v>4.4015399999999998</v>
      </c>
      <c r="W41" s="14">
        <v>44.640459999999997</v>
      </c>
      <c r="X41" s="11">
        <v>141</v>
      </c>
      <c r="Y41" s="10">
        <v>43307</v>
      </c>
      <c r="Z41" s="11">
        <v>9845235505</v>
      </c>
      <c r="AA41" s="12" t="s">
        <v>89</v>
      </c>
      <c r="AB41" s="11" t="s">
        <v>73</v>
      </c>
      <c r="AC41" s="12" t="s">
        <v>74</v>
      </c>
      <c r="AD41" s="11" t="s">
        <v>44</v>
      </c>
      <c r="AE41" s="12" t="s">
        <v>45</v>
      </c>
      <c r="AF41" s="14">
        <v>0.49042000000000002</v>
      </c>
      <c r="AG41" s="11" t="s">
        <v>180</v>
      </c>
    </row>
    <row r="42" spans="1:33" x14ac:dyDescent="0.2">
      <c r="A42" s="8">
        <v>3969</v>
      </c>
      <c r="B42" s="9" t="s">
        <v>119</v>
      </c>
      <c r="C42" s="10">
        <v>43307</v>
      </c>
      <c r="D42" s="11">
        <v>40</v>
      </c>
      <c r="E42" s="12" t="s">
        <v>34</v>
      </c>
      <c r="F42" s="12" t="s">
        <v>35</v>
      </c>
      <c r="G42" s="12" t="s">
        <v>36</v>
      </c>
      <c r="H42" s="12" t="s">
        <v>37</v>
      </c>
      <c r="I42" s="11" t="s">
        <v>183</v>
      </c>
      <c r="J42" s="12" t="s">
        <v>184</v>
      </c>
      <c r="K42" s="13" t="s">
        <v>88</v>
      </c>
      <c r="L42" s="11" t="str">
        <f>"000140"</f>
        <v>000140</v>
      </c>
      <c r="M42" s="10">
        <v>43244</v>
      </c>
      <c r="N42" s="11" t="str">
        <f>"000087"</f>
        <v>000087</v>
      </c>
      <c r="O42" s="10">
        <v>43265</v>
      </c>
      <c r="P42" s="11" t="str">
        <f>"000156"</f>
        <v>000156</v>
      </c>
      <c r="Q42" s="10">
        <v>43265</v>
      </c>
      <c r="R42" s="11">
        <v>18</v>
      </c>
      <c r="S42" s="11" t="str">
        <f>"004335"</f>
        <v>004335</v>
      </c>
      <c r="T42" s="10">
        <v>43306</v>
      </c>
      <c r="U42" s="14">
        <v>49.102290000000004</v>
      </c>
      <c r="V42" s="14">
        <v>4.3842800000000004</v>
      </c>
      <c r="W42" s="14">
        <v>44.71801</v>
      </c>
      <c r="X42" s="11">
        <v>141</v>
      </c>
      <c r="Y42" s="10">
        <v>43307</v>
      </c>
      <c r="Z42" s="11">
        <v>9845235505</v>
      </c>
      <c r="AA42" s="12" t="s">
        <v>89</v>
      </c>
      <c r="AB42" s="11" t="s">
        <v>73</v>
      </c>
      <c r="AC42" s="12" t="s">
        <v>74</v>
      </c>
      <c r="AD42" s="11" t="s">
        <v>44</v>
      </c>
      <c r="AE42" s="12" t="s">
        <v>45</v>
      </c>
      <c r="AF42" s="14">
        <v>0.49102290000000004</v>
      </c>
      <c r="AG42" s="11" t="s">
        <v>180</v>
      </c>
    </row>
    <row r="43" spans="1:33" x14ac:dyDescent="0.2">
      <c r="A43" s="8">
        <v>3970</v>
      </c>
      <c r="B43" s="9" t="s">
        <v>119</v>
      </c>
      <c r="C43" s="10">
        <v>43307</v>
      </c>
      <c r="D43" s="11">
        <v>40</v>
      </c>
      <c r="E43" s="12" t="s">
        <v>34</v>
      </c>
      <c r="F43" s="12" t="s">
        <v>35</v>
      </c>
      <c r="G43" s="12" t="s">
        <v>36</v>
      </c>
      <c r="H43" s="12" t="s">
        <v>37</v>
      </c>
      <c r="I43" s="11" t="s">
        <v>185</v>
      </c>
      <c r="J43" s="12" t="s">
        <v>186</v>
      </c>
      <c r="K43" s="13" t="s">
        <v>88</v>
      </c>
      <c r="L43" s="11" t="str">
        <f>"000138"</f>
        <v>000138</v>
      </c>
      <c r="M43" s="10">
        <v>43244</v>
      </c>
      <c r="N43" s="11" t="str">
        <f>"000086"</f>
        <v>000086</v>
      </c>
      <c r="O43" s="10">
        <v>43265</v>
      </c>
      <c r="P43" s="11" t="str">
        <f>"000157"</f>
        <v>000157</v>
      </c>
      <c r="Q43" s="10">
        <v>43265</v>
      </c>
      <c r="R43" s="11">
        <v>18</v>
      </c>
      <c r="S43" s="11" t="str">
        <f>"004336"</f>
        <v>004336</v>
      </c>
      <c r="T43" s="10">
        <v>43306</v>
      </c>
      <c r="U43" s="14">
        <v>49.1</v>
      </c>
      <c r="V43" s="14">
        <v>4.3750999999999998</v>
      </c>
      <c r="W43" s="14">
        <v>44.724899999999998</v>
      </c>
      <c r="X43" s="11">
        <v>141</v>
      </c>
      <c r="Y43" s="10">
        <v>43307</v>
      </c>
      <c r="Z43" s="11">
        <v>9845235505</v>
      </c>
      <c r="AA43" s="12" t="s">
        <v>89</v>
      </c>
      <c r="AB43" s="11" t="s">
        <v>73</v>
      </c>
      <c r="AC43" s="12" t="s">
        <v>74</v>
      </c>
      <c r="AD43" s="11" t="s">
        <v>44</v>
      </c>
      <c r="AE43" s="12" t="s">
        <v>45</v>
      </c>
      <c r="AF43" s="14">
        <v>0.49099999999999999</v>
      </c>
      <c r="AG43" s="11" t="s">
        <v>180</v>
      </c>
    </row>
    <row r="44" spans="1:33" x14ac:dyDescent="0.2">
      <c r="A44" s="8">
        <v>3971</v>
      </c>
      <c r="B44" s="9" t="s">
        <v>119</v>
      </c>
      <c r="C44" s="10">
        <v>43307</v>
      </c>
      <c r="D44" s="11">
        <v>40</v>
      </c>
      <c r="E44" s="12" t="s">
        <v>34</v>
      </c>
      <c r="F44" s="12" t="s">
        <v>35</v>
      </c>
      <c r="G44" s="12" t="s">
        <v>36</v>
      </c>
      <c r="H44" s="12" t="s">
        <v>37</v>
      </c>
      <c r="I44" s="11" t="s">
        <v>187</v>
      </c>
      <c r="J44" s="12" t="s">
        <v>188</v>
      </c>
      <c r="K44" s="13" t="s">
        <v>113</v>
      </c>
      <c r="L44" s="11" t="str">
        <f>"000137"</f>
        <v>000137</v>
      </c>
      <c r="M44" s="10">
        <v>43244</v>
      </c>
      <c r="N44" s="11" t="str">
        <f>"000085"</f>
        <v>000085</v>
      </c>
      <c r="O44" s="10">
        <v>43265</v>
      </c>
      <c r="P44" s="11" t="str">
        <f>"000159"</f>
        <v>000159</v>
      </c>
      <c r="Q44" s="10">
        <v>43265</v>
      </c>
      <c r="R44" s="11">
        <v>18</v>
      </c>
      <c r="S44" s="11" t="str">
        <f>"004338"</f>
        <v>004338</v>
      </c>
      <c r="T44" s="10">
        <v>43306</v>
      </c>
      <c r="U44" s="14">
        <v>49.098649999999999</v>
      </c>
      <c r="V44" s="14">
        <v>4.4050000000000002</v>
      </c>
      <c r="W44" s="14">
        <v>44.693649999999998</v>
      </c>
      <c r="X44" s="11">
        <v>141</v>
      </c>
      <c r="Y44" s="10">
        <v>43307</v>
      </c>
      <c r="Z44" s="11">
        <v>9845235505</v>
      </c>
      <c r="AA44" s="12" t="s">
        <v>89</v>
      </c>
      <c r="AB44" s="11" t="s">
        <v>73</v>
      </c>
      <c r="AC44" s="12" t="s">
        <v>74</v>
      </c>
      <c r="AD44" s="11" t="s">
        <v>44</v>
      </c>
      <c r="AE44" s="12" t="s">
        <v>45</v>
      </c>
      <c r="AF44" s="14">
        <v>0.49098649999999999</v>
      </c>
      <c r="AG44" s="11" t="s">
        <v>180</v>
      </c>
    </row>
    <row r="45" spans="1:33" x14ac:dyDescent="0.2">
      <c r="A45" s="8">
        <v>3972</v>
      </c>
      <c r="B45" s="9" t="s">
        <v>119</v>
      </c>
      <c r="C45" s="10">
        <v>43307</v>
      </c>
      <c r="D45" s="11">
        <v>40</v>
      </c>
      <c r="E45" s="12" t="s">
        <v>34</v>
      </c>
      <c r="F45" s="12" t="s">
        <v>35</v>
      </c>
      <c r="G45" s="12" t="s">
        <v>36</v>
      </c>
      <c r="H45" s="12" t="s">
        <v>37</v>
      </c>
      <c r="I45" s="11" t="s">
        <v>189</v>
      </c>
      <c r="J45" s="12" t="s">
        <v>190</v>
      </c>
      <c r="K45" s="13" t="s">
        <v>88</v>
      </c>
      <c r="L45" s="11" t="str">
        <f>"000135"</f>
        <v>000135</v>
      </c>
      <c r="M45" s="10">
        <v>43244</v>
      </c>
      <c r="N45" s="11" t="str">
        <f>"000084"</f>
        <v>000084</v>
      </c>
      <c r="O45" s="10">
        <v>43265</v>
      </c>
      <c r="P45" s="11" t="str">
        <f>"000160"</f>
        <v>000160</v>
      </c>
      <c r="Q45" s="10">
        <v>43265</v>
      </c>
      <c r="R45" s="11">
        <v>18</v>
      </c>
      <c r="S45" s="11" t="str">
        <f>"004343"</f>
        <v>004343</v>
      </c>
      <c r="T45" s="10">
        <v>43306</v>
      </c>
      <c r="U45" s="14">
        <v>49.085720000000002</v>
      </c>
      <c r="V45" s="14">
        <v>4.4000000000000004</v>
      </c>
      <c r="W45" s="14">
        <v>44.685720000000003</v>
      </c>
      <c r="X45" s="11">
        <v>141</v>
      </c>
      <c r="Y45" s="10">
        <v>43307</v>
      </c>
      <c r="Z45" s="11">
        <v>9845235505</v>
      </c>
      <c r="AA45" s="12" t="s">
        <v>89</v>
      </c>
      <c r="AB45" s="11" t="s">
        <v>73</v>
      </c>
      <c r="AC45" s="12" t="s">
        <v>74</v>
      </c>
      <c r="AD45" s="11" t="s">
        <v>44</v>
      </c>
      <c r="AE45" s="12" t="s">
        <v>45</v>
      </c>
      <c r="AF45" s="14">
        <v>0.49085719999999999</v>
      </c>
      <c r="AG45" s="11" t="s">
        <v>180</v>
      </c>
    </row>
    <row r="46" spans="1:33" x14ac:dyDescent="0.2">
      <c r="A46" s="8">
        <v>3973</v>
      </c>
      <c r="B46" s="9" t="s">
        <v>119</v>
      </c>
      <c r="C46" s="10">
        <v>43307</v>
      </c>
      <c r="D46" s="11">
        <v>40</v>
      </c>
      <c r="E46" s="12" t="s">
        <v>34</v>
      </c>
      <c r="F46" s="12" t="s">
        <v>35</v>
      </c>
      <c r="G46" s="12" t="s">
        <v>36</v>
      </c>
      <c r="H46" s="12" t="s">
        <v>37</v>
      </c>
      <c r="I46" s="11" t="s">
        <v>191</v>
      </c>
      <c r="J46" s="12" t="s">
        <v>192</v>
      </c>
      <c r="K46" s="13" t="s">
        <v>88</v>
      </c>
      <c r="L46" s="11" t="str">
        <f>"000129"</f>
        <v>000129</v>
      </c>
      <c r="M46" s="10">
        <v>43244</v>
      </c>
      <c r="N46" s="11" t="str">
        <f>"000083"</f>
        <v>000083</v>
      </c>
      <c r="O46" s="10">
        <v>43265</v>
      </c>
      <c r="P46" s="11" t="str">
        <f>"000161"</f>
        <v>000161</v>
      </c>
      <c r="Q46" s="10">
        <v>43265</v>
      </c>
      <c r="R46" s="11">
        <v>18</v>
      </c>
      <c r="S46" s="11" t="str">
        <f>"004344"</f>
        <v>004344</v>
      </c>
      <c r="T46" s="10">
        <v>43306</v>
      </c>
      <c r="U46" s="14">
        <v>49.099600000000002</v>
      </c>
      <c r="V46" s="14">
        <v>4.4110800000000001</v>
      </c>
      <c r="W46" s="14">
        <v>44.688519999999997</v>
      </c>
      <c r="X46" s="11">
        <v>141</v>
      </c>
      <c r="Y46" s="10">
        <v>43307</v>
      </c>
      <c r="Z46" s="11">
        <v>9845235505</v>
      </c>
      <c r="AA46" s="12" t="s">
        <v>89</v>
      </c>
      <c r="AB46" s="11" t="s">
        <v>73</v>
      </c>
      <c r="AC46" s="12" t="s">
        <v>74</v>
      </c>
      <c r="AD46" s="11" t="s">
        <v>44</v>
      </c>
      <c r="AE46" s="12" t="s">
        <v>45</v>
      </c>
      <c r="AF46" s="14">
        <v>0.49099600000000004</v>
      </c>
      <c r="AG46" s="11" t="s">
        <v>180</v>
      </c>
    </row>
    <row r="47" spans="1:33" x14ac:dyDescent="0.2">
      <c r="A47" s="8">
        <v>3974</v>
      </c>
      <c r="B47" s="9" t="s">
        <v>119</v>
      </c>
      <c r="C47" s="10">
        <v>43307</v>
      </c>
      <c r="D47" s="11">
        <v>40</v>
      </c>
      <c r="E47" s="12" t="s">
        <v>34</v>
      </c>
      <c r="F47" s="12" t="s">
        <v>35</v>
      </c>
      <c r="G47" s="12" t="s">
        <v>36</v>
      </c>
      <c r="H47" s="12" t="s">
        <v>37</v>
      </c>
      <c r="I47" s="11" t="s">
        <v>193</v>
      </c>
      <c r="J47" s="12" t="s">
        <v>194</v>
      </c>
      <c r="K47" s="13" t="s">
        <v>88</v>
      </c>
      <c r="L47" s="11" t="str">
        <f>"000131"</f>
        <v>000131</v>
      </c>
      <c r="M47" s="10">
        <v>43244</v>
      </c>
      <c r="N47" s="11" t="str">
        <f>"000080"</f>
        <v>000080</v>
      </c>
      <c r="O47" s="10">
        <v>43265</v>
      </c>
      <c r="P47" s="11" t="str">
        <f>"000162"</f>
        <v>000162</v>
      </c>
      <c r="Q47" s="10">
        <v>43265</v>
      </c>
      <c r="R47" s="11">
        <v>18</v>
      </c>
      <c r="S47" s="11" t="str">
        <f>"004345"</f>
        <v>004345</v>
      </c>
      <c r="T47" s="10">
        <v>43306</v>
      </c>
      <c r="U47" s="14">
        <v>49.097659999999998</v>
      </c>
      <c r="V47" s="14">
        <v>4.4139099999999996</v>
      </c>
      <c r="W47" s="14">
        <v>44.683750000000003</v>
      </c>
      <c r="X47" s="11">
        <v>141</v>
      </c>
      <c r="Y47" s="10">
        <v>43307</v>
      </c>
      <c r="Z47" s="11">
        <v>9845235505</v>
      </c>
      <c r="AA47" s="12" t="s">
        <v>89</v>
      </c>
      <c r="AB47" s="11" t="s">
        <v>73</v>
      </c>
      <c r="AC47" s="12" t="s">
        <v>74</v>
      </c>
      <c r="AD47" s="11" t="s">
        <v>44</v>
      </c>
      <c r="AE47" s="12" t="s">
        <v>45</v>
      </c>
      <c r="AF47" s="14">
        <v>0.49097659999999999</v>
      </c>
      <c r="AG47" s="11" t="s">
        <v>180</v>
      </c>
    </row>
    <row r="48" spans="1:33" x14ac:dyDescent="0.2">
      <c r="A48" s="8">
        <v>3975</v>
      </c>
      <c r="B48" s="9" t="s">
        <v>119</v>
      </c>
      <c r="C48" s="10">
        <v>43307</v>
      </c>
      <c r="D48" s="11">
        <v>40</v>
      </c>
      <c r="E48" s="12" t="s">
        <v>34</v>
      </c>
      <c r="F48" s="12" t="s">
        <v>35</v>
      </c>
      <c r="G48" s="12" t="s">
        <v>36</v>
      </c>
      <c r="H48" s="12" t="s">
        <v>37</v>
      </c>
      <c r="I48" s="11" t="s">
        <v>195</v>
      </c>
      <c r="J48" s="12" t="s">
        <v>196</v>
      </c>
      <c r="K48" s="13" t="s">
        <v>88</v>
      </c>
      <c r="L48" s="11" t="str">
        <f>"000130"</f>
        <v>000130</v>
      </c>
      <c r="M48" s="10">
        <v>43244</v>
      </c>
      <c r="N48" s="11" t="str">
        <f>"000079"</f>
        <v>000079</v>
      </c>
      <c r="O48" s="10">
        <v>43265</v>
      </c>
      <c r="P48" s="11" t="str">
        <f>"000170"</f>
        <v>000170</v>
      </c>
      <c r="Q48" s="10">
        <v>43265</v>
      </c>
      <c r="R48" s="11">
        <v>18</v>
      </c>
      <c r="S48" s="11" t="str">
        <f>"004366"</f>
        <v>004366</v>
      </c>
      <c r="T48" s="10">
        <v>43306</v>
      </c>
      <c r="U48" s="14">
        <v>49.095500000000001</v>
      </c>
      <c r="V48" s="14">
        <v>4.3937499999999998</v>
      </c>
      <c r="W48" s="14">
        <v>44.701749999999997</v>
      </c>
      <c r="X48" s="11">
        <v>141</v>
      </c>
      <c r="Y48" s="10">
        <v>43307</v>
      </c>
      <c r="Z48" s="11">
        <v>9845235505</v>
      </c>
      <c r="AA48" s="12" t="s">
        <v>89</v>
      </c>
      <c r="AB48" s="11" t="s">
        <v>73</v>
      </c>
      <c r="AC48" s="12" t="s">
        <v>74</v>
      </c>
      <c r="AD48" s="11" t="s">
        <v>44</v>
      </c>
      <c r="AE48" s="12" t="s">
        <v>45</v>
      </c>
      <c r="AF48" s="14">
        <v>0.49095500000000003</v>
      </c>
      <c r="AG48" s="11" t="s">
        <v>180</v>
      </c>
    </row>
    <row r="49" spans="1:33" x14ac:dyDescent="0.2">
      <c r="A49" s="8">
        <v>3976</v>
      </c>
      <c r="B49" s="9" t="s">
        <v>119</v>
      </c>
      <c r="C49" s="10">
        <v>43307</v>
      </c>
      <c r="D49" s="11">
        <v>40</v>
      </c>
      <c r="E49" s="12" t="s">
        <v>34</v>
      </c>
      <c r="F49" s="12" t="s">
        <v>35</v>
      </c>
      <c r="G49" s="12" t="s">
        <v>36</v>
      </c>
      <c r="H49" s="12" t="s">
        <v>37</v>
      </c>
      <c r="I49" s="11" t="s">
        <v>197</v>
      </c>
      <c r="J49" s="12" t="s">
        <v>198</v>
      </c>
      <c r="K49" s="13" t="s">
        <v>88</v>
      </c>
      <c r="L49" s="11" t="str">
        <f>"000134"</f>
        <v>000134</v>
      </c>
      <c r="M49" s="10">
        <v>43244</v>
      </c>
      <c r="N49" s="11" t="str">
        <f>"000078"</f>
        <v>000078</v>
      </c>
      <c r="O49" s="10">
        <v>43265</v>
      </c>
      <c r="P49" s="11" t="str">
        <f>"000171"</f>
        <v>000171</v>
      </c>
      <c r="Q49" s="10">
        <v>43265</v>
      </c>
      <c r="R49" s="11">
        <v>18</v>
      </c>
      <c r="S49" s="11" t="str">
        <f>"004369"</f>
        <v>004369</v>
      </c>
      <c r="T49" s="10">
        <v>43306</v>
      </c>
      <c r="U49" s="14">
        <v>49.082180000000001</v>
      </c>
      <c r="V49" s="14">
        <v>4.3886599999999998</v>
      </c>
      <c r="W49" s="14">
        <v>44.693519999999999</v>
      </c>
      <c r="X49" s="11">
        <v>141</v>
      </c>
      <c r="Y49" s="10">
        <v>43307</v>
      </c>
      <c r="Z49" s="11">
        <v>9845235505</v>
      </c>
      <c r="AA49" s="12" t="s">
        <v>89</v>
      </c>
      <c r="AB49" s="11" t="s">
        <v>73</v>
      </c>
      <c r="AC49" s="12" t="s">
        <v>74</v>
      </c>
      <c r="AD49" s="11" t="s">
        <v>44</v>
      </c>
      <c r="AE49" s="12" t="s">
        <v>45</v>
      </c>
      <c r="AF49" s="14">
        <v>0.49082180000000003</v>
      </c>
      <c r="AG49" s="11" t="s">
        <v>180</v>
      </c>
    </row>
    <row r="50" spans="1:33" x14ac:dyDescent="0.2">
      <c r="A50" s="8">
        <v>3977</v>
      </c>
      <c r="B50" s="9" t="s">
        <v>119</v>
      </c>
      <c r="C50" s="10">
        <v>43307</v>
      </c>
      <c r="D50" s="11">
        <v>40</v>
      </c>
      <c r="E50" s="12" t="s">
        <v>34</v>
      </c>
      <c r="F50" s="12" t="s">
        <v>35</v>
      </c>
      <c r="G50" s="12" t="s">
        <v>36</v>
      </c>
      <c r="H50" s="12" t="s">
        <v>37</v>
      </c>
      <c r="I50" s="11" t="s">
        <v>199</v>
      </c>
      <c r="J50" s="12" t="s">
        <v>200</v>
      </c>
      <c r="K50" s="13" t="s">
        <v>88</v>
      </c>
      <c r="L50" s="11" t="str">
        <f>"000139"</f>
        <v>000139</v>
      </c>
      <c r="M50" s="10">
        <v>43244</v>
      </c>
      <c r="N50" s="11" t="str">
        <f>"000077"</f>
        <v>000077</v>
      </c>
      <c r="O50" s="10">
        <v>43265</v>
      </c>
      <c r="P50" s="11" t="str">
        <f>"000172"</f>
        <v>000172</v>
      </c>
      <c r="Q50" s="10">
        <v>43265</v>
      </c>
      <c r="R50" s="11">
        <v>18</v>
      </c>
      <c r="S50" s="11" t="str">
        <f>"004373"</f>
        <v>004373</v>
      </c>
      <c r="T50" s="10">
        <v>43306</v>
      </c>
      <c r="U50" s="14">
        <v>49.095170000000003</v>
      </c>
      <c r="V50" s="14">
        <v>4.3697600000000003</v>
      </c>
      <c r="W50" s="14">
        <v>44.725409999999997</v>
      </c>
      <c r="X50" s="11">
        <v>141</v>
      </c>
      <c r="Y50" s="10">
        <v>43307</v>
      </c>
      <c r="Z50" s="11">
        <v>9845235505</v>
      </c>
      <c r="AA50" s="12" t="s">
        <v>89</v>
      </c>
      <c r="AB50" s="11" t="s">
        <v>73</v>
      </c>
      <c r="AC50" s="12" t="s">
        <v>74</v>
      </c>
      <c r="AD50" s="11" t="s">
        <v>44</v>
      </c>
      <c r="AE50" s="12" t="s">
        <v>45</v>
      </c>
      <c r="AF50" s="14">
        <v>0.49095170000000005</v>
      </c>
      <c r="AG50" s="11" t="s">
        <v>180</v>
      </c>
    </row>
    <row r="51" spans="1:33" x14ac:dyDescent="0.2">
      <c r="A51" s="8">
        <v>3978</v>
      </c>
      <c r="B51" s="9" t="s">
        <v>119</v>
      </c>
      <c r="C51" s="10">
        <v>43307</v>
      </c>
      <c r="D51" s="11">
        <v>40</v>
      </c>
      <c r="E51" s="12" t="s">
        <v>34</v>
      </c>
      <c r="F51" s="12" t="s">
        <v>35</v>
      </c>
      <c r="G51" s="12" t="s">
        <v>36</v>
      </c>
      <c r="H51" s="12" t="s">
        <v>37</v>
      </c>
      <c r="I51" s="11" t="s">
        <v>201</v>
      </c>
      <c r="J51" s="12" t="s">
        <v>202</v>
      </c>
      <c r="K51" s="13" t="s">
        <v>88</v>
      </c>
      <c r="L51" s="11" t="str">
        <f>"000132"</f>
        <v>000132</v>
      </c>
      <c r="M51" s="10">
        <v>43244</v>
      </c>
      <c r="N51" s="11" t="str">
        <f>"000081"</f>
        <v>000081</v>
      </c>
      <c r="O51" s="10">
        <v>43265</v>
      </c>
      <c r="P51" s="11" t="str">
        <f>"000173"</f>
        <v>000173</v>
      </c>
      <c r="Q51" s="10">
        <v>43265</v>
      </c>
      <c r="R51" s="11">
        <v>18</v>
      </c>
      <c r="S51" s="11" t="str">
        <f>"004376"</f>
        <v>004376</v>
      </c>
      <c r="T51" s="10">
        <v>43306</v>
      </c>
      <c r="U51" s="14">
        <v>49.104340000000001</v>
      </c>
      <c r="V51" s="14">
        <v>4.4164399999999997</v>
      </c>
      <c r="W51" s="14">
        <v>44.687899999999999</v>
      </c>
      <c r="X51" s="11">
        <v>141</v>
      </c>
      <c r="Y51" s="10">
        <v>43307</v>
      </c>
      <c r="Z51" s="11">
        <v>9845235505</v>
      </c>
      <c r="AA51" s="12" t="s">
        <v>89</v>
      </c>
      <c r="AB51" s="11" t="s">
        <v>73</v>
      </c>
      <c r="AC51" s="12" t="s">
        <v>74</v>
      </c>
      <c r="AD51" s="11" t="s">
        <v>44</v>
      </c>
      <c r="AE51" s="12" t="s">
        <v>45</v>
      </c>
      <c r="AF51" s="14">
        <v>0.49104340000000002</v>
      </c>
      <c r="AG51" s="11" t="s">
        <v>180</v>
      </c>
    </row>
    <row r="52" spans="1:33" x14ac:dyDescent="0.2">
      <c r="A52" s="8">
        <v>3979</v>
      </c>
      <c r="B52" s="9" t="s">
        <v>119</v>
      </c>
      <c r="C52" s="10">
        <v>43307</v>
      </c>
      <c r="D52" s="11">
        <v>40</v>
      </c>
      <c r="E52" s="12" t="s">
        <v>34</v>
      </c>
      <c r="F52" s="12" t="s">
        <v>35</v>
      </c>
      <c r="G52" s="12" t="s">
        <v>36</v>
      </c>
      <c r="H52" s="12" t="s">
        <v>37</v>
      </c>
      <c r="I52" s="11" t="s">
        <v>203</v>
      </c>
      <c r="J52" s="12" t="s">
        <v>204</v>
      </c>
      <c r="K52" s="13" t="s">
        <v>88</v>
      </c>
      <c r="L52" s="11" t="str">
        <f>"000133"</f>
        <v>000133</v>
      </c>
      <c r="M52" s="10">
        <v>43244</v>
      </c>
      <c r="N52" s="11" t="str">
        <f>"000082"</f>
        <v>000082</v>
      </c>
      <c r="O52" s="10">
        <v>43265</v>
      </c>
      <c r="P52" s="11" t="str">
        <f>"000174"</f>
        <v>000174</v>
      </c>
      <c r="Q52" s="10">
        <v>43265</v>
      </c>
      <c r="R52" s="11">
        <v>18</v>
      </c>
      <c r="S52" s="11" t="str">
        <f>"004380"</f>
        <v>004380</v>
      </c>
      <c r="T52" s="10">
        <v>43306</v>
      </c>
      <c r="U52" s="14">
        <v>49.047240000000002</v>
      </c>
      <c r="V52" s="14">
        <v>4.4258199999999999</v>
      </c>
      <c r="W52" s="14">
        <v>44.621420000000001</v>
      </c>
      <c r="X52" s="11">
        <v>141</v>
      </c>
      <c r="Y52" s="10">
        <v>43307</v>
      </c>
      <c r="Z52" s="11">
        <v>9845235505</v>
      </c>
      <c r="AA52" s="12" t="s">
        <v>89</v>
      </c>
      <c r="AB52" s="11" t="s">
        <v>73</v>
      </c>
      <c r="AC52" s="12" t="s">
        <v>74</v>
      </c>
      <c r="AD52" s="11" t="s">
        <v>44</v>
      </c>
      <c r="AE52" s="12" t="s">
        <v>45</v>
      </c>
      <c r="AF52" s="14">
        <v>0.49047240000000003</v>
      </c>
      <c r="AG52" s="11" t="s">
        <v>180</v>
      </c>
    </row>
    <row r="53" spans="1:33" x14ac:dyDescent="0.2">
      <c r="A53" s="8">
        <v>4082</v>
      </c>
      <c r="B53" s="9" t="s">
        <v>119</v>
      </c>
      <c r="C53" s="10">
        <v>43308</v>
      </c>
      <c r="D53" s="11">
        <v>40</v>
      </c>
      <c r="E53" s="12" t="s">
        <v>34</v>
      </c>
      <c r="F53" s="12" t="s">
        <v>35</v>
      </c>
      <c r="G53" s="12" t="s">
        <v>36</v>
      </c>
      <c r="H53" s="12" t="s">
        <v>37</v>
      </c>
      <c r="I53" s="11" t="s">
        <v>205</v>
      </c>
      <c r="J53" s="12" t="s">
        <v>206</v>
      </c>
      <c r="K53" s="13" t="s">
        <v>207</v>
      </c>
      <c r="L53" s="11" t="str">
        <f>"000138"</f>
        <v>000138</v>
      </c>
      <c r="M53" s="10">
        <v>43089</v>
      </c>
      <c r="N53" s="11" t="str">
        <f>"000098"</f>
        <v>000098</v>
      </c>
      <c r="O53" s="10">
        <v>43294</v>
      </c>
      <c r="P53" s="11" t="str">
        <f>"000258"</f>
        <v>000258</v>
      </c>
      <c r="Q53" s="10">
        <v>43297</v>
      </c>
      <c r="R53" s="11">
        <v>17</v>
      </c>
      <c r="S53" s="11" t="str">
        <f>"004362"</f>
        <v>004362</v>
      </c>
      <c r="T53" s="10">
        <v>43306</v>
      </c>
      <c r="U53" s="14">
        <v>9.2757400000000008</v>
      </c>
      <c r="V53" s="14">
        <v>0.29955999999999999</v>
      </c>
      <c r="W53" s="14">
        <v>8.9761799999999994</v>
      </c>
      <c r="X53" s="11">
        <v>143</v>
      </c>
      <c r="Y53" s="10">
        <v>43308</v>
      </c>
      <c r="Z53" s="11">
        <v>9845193228</v>
      </c>
      <c r="AA53" s="12" t="s">
        <v>208</v>
      </c>
      <c r="AB53" s="11" t="s">
        <v>51</v>
      </c>
      <c r="AC53" s="12" t="s">
        <v>52</v>
      </c>
      <c r="AD53" s="11" t="s">
        <v>44</v>
      </c>
      <c r="AE53" s="12" t="s">
        <v>45</v>
      </c>
      <c r="AF53" s="14">
        <v>9.2757400000000004E-2</v>
      </c>
      <c r="AG53" s="11" t="s">
        <v>92</v>
      </c>
    </row>
    <row r="54" spans="1:33" x14ac:dyDescent="0.2">
      <c r="A54" s="8">
        <v>4221</v>
      </c>
      <c r="B54" s="9" t="s">
        <v>209</v>
      </c>
      <c r="C54" s="10">
        <v>43314</v>
      </c>
      <c r="D54" s="11">
        <v>40</v>
      </c>
      <c r="E54" s="12" t="s">
        <v>34</v>
      </c>
      <c r="F54" s="12" t="s">
        <v>35</v>
      </c>
      <c r="G54" s="12" t="s">
        <v>36</v>
      </c>
      <c r="H54" s="12" t="s">
        <v>37</v>
      </c>
      <c r="I54" s="11" t="s">
        <v>210</v>
      </c>
      <c r="J54" s="12" t="s">
        <v>211</v>
      </c>
      <c r="K54" s="13" t="s">
        <v>77</v>
      </c>
      <c r="L54" s="11" t="str">
        <f>"000161"</f>
        <v>000161</v>
      </c>
      <c r="M54" s="10">
        <v>42186</v>
      </c>
      <c r="N54" s="11" t="str">
        <f>"000264"</f>
        <v>000264</v>
      </c>
      <c r="O54" s="10">
        <v>42460</v>
      </c>
      <c r="P54" s="11" t="str">
        <f>"000417"</f>
        <v>000417</v>
      </c>
      <c r="Q54" s="10">
        <v>42460</v>
      </c>
      <c r="R54" s="11">
        <v>15</v>
      </c>
      <c r="S54" s="11" t="str">
        <f>"004483"</f>
        <v>004483</v>
      </c>
      <c r="T54" s="10">
        <v>43308</v>
      </c>
      <c r="U54" s="14">
        <v>1.8291900000000001</v>
      </c>
      <c r="V54" s="14">
        <v>0.13258</v>
      </c>
      <c r="W54" s="14">
        <v>1.69661</v>
      </c>
      <c r="X54" s="11">
        <v>151</v>
      </c>
      <c r="Y54" s="10">
        <v>43314</v>
      </c>
      <c r="Z54" s="11">
        <v>9731449749</v>
      </c>
      <c r="AA54" s="12" t="s">
        <v>212</v>
      </c>
      <c r="AB54" s="11" t="s">
        <v>42</v>
      </c>
      <c r="AC54" s="12" t="s">
        <v>43</v>
      </c>
      <c r="AD54" s="11" t="s">
        <v>44</v>
      </c>
      <c r="AE54" s="12" t="s">
        <v>45</v>
      </c>
      <c r="AF54" s="14">
        <v>1.82919E-2</v>
      </c>
      <c r="AG54" s="11" t="s">
        <v>46</v>
      </c>
    </row>
    <row r="55" spans="1:33" x14ac:dyDescent="0.2">
      <c r="A55" s="8">
        <v>4410</v>
      </c>
      <c r="B55" s="9" t="s">
        <v>209</v>
      </c>
      <c r="C55" s="10">
        <v>43318</v>
      </c>
      <c r="D55" s="11">
        <v>40</v>
      </c>
      <c r="E55" s="12" t="s">
        <v>34</v>
      </c>
      <c r="F55" s="12" t="s">
        <v>35</v>
      </c>
      <c r="G55" s="12" t="s">
        <v>36</v>
      </c>
      <c r="H55" s="12" t="s">
        <v>37</v>
      </c>
      <c r="I55" s="11" t="s">
        <v>213</v>
      </c>
      <c r="J55" s="12" t="s">
        <v>214</v>
      </c>
      <c r="K55" s="13" t="s">
        <v>113</v>
      </c>
      <c r="L55" s="11" t="str">
        <f>"000007"</f>
        <v>000007</v>
      </c>
      <c r="M55" s="10">
        <v>42870</v>
      </c>
      <c r="N55" s="11" t="str">
        <f>"000094"</f>
        <v>000094</v>
      </c>
      <c r="O55" s="10">
        <v>43131</v>
      </c>
      <c r="P55" s="11" t="str">
        <f>"000094"</f>
        <v>000094</v>
      </c>
      <c r="Q55" s="10">
        <v>43131</v>
      </c>
      <c r="R55" s="11">
        <v>16</v>
      </c>
      <c r="S55" s="11" t="str">
        <f>"004813"</f>
        <v>004813</v>
      </c>
      <c r="T55" s="10">
        <v>43315</v>
      </c>
      <c r="U55" s="14">
        <v>5.9438599999999999</v>
      </c>
      <c r="V55" s="14">
        <v>0.38657999999999998</v>
      </c>
      <c r="W55" s="14">
        <v>5.5572800000000004</v>
      </c>
      <c r="X55" s="11">
        <v>157</v>
      </c>
      <c r="Y55" s="10">
        <v>43318</v>
      </c>
      <c r="Z55" s="11">
        <v>9845021612</v>
      </c>
      <c r="AA55" s="12" t="s">
        <v>215</v>
      </c>
      <c r="AB55" s="11" t="s">
        <v>216</v>
      </c>
      <c r="AC55" s="12" t="s">
        <v>217</v>
      </c>
      <c r="AD55" s="11" t="s">
        <v>117</v>
      </c>
      <c r="AE55" s="12" t="s">
        <v>118</v>
      </c>
      <c r="AF55" s="14">
        <v>5.9438600000000001E-2</v>
      </c>
      <c r="AG55" s="11" t="s">
        <v>46</v>
      </c>
    </row>
    <row r="56" spans="1:33" x14ac:dyDescent="0.2">
      <c r="A56" s="8">
        <v>4411</v>
      </c>
      <c r="B56" s="9" t="s">
        <v>209</v>
      </c>
      <c r="C56" s="10">
        <v>43318</v>
      </c>
      <c r="D56" s="11">
        <v>40</v>
      </c>
      <c r="E56" s="12" t="s">
        <v>34</v>
      </c>
      <c r="F56" s="12" t="s">
        <v>35</v>
      </c>
      <c r="G56" s="12" t="s">
        <v>36</v>
      </c>
      <c r="H56" s="12" t="s">
        <v>37</v>
      </c>
      <c r="I56" s="11" t="s">
        <v>218</v>
      </c>
      <c r="J56" s="12" t="s">
        <v>219</v>
      </c>
      <c r="K56" s="13" t="s">
        <v>40</v>
      </c>
      <c r="L56" s="11" t="str">
        <f>"000182"</f>
        <v>000182</v>
      </c>
      <c r="M56" s="10">
        <v>42727</v>
      </c>
      <c r="N56" s="11" t="str">
        <f>"000231"</f>
        <v>000231</v>
      </c>
      <c r="O56" s="10">
        <v>42794</v>
      </c>
      <c r="P56" s="11" t="str">
        <f>"000473"</f>
        <v>000473</v>
      </c>
      <c r="Q56" s="10">
        <v>42794</v>
      </c>
      <c r="R56" s="11">
        <v>17</v>
      </c>
      <c r="S56" s="11" t="str">
        <f>"004714"</f>
        <v>004714</v>
      </c>
      <c r="T56" s="10">
        <v>43314</v>
      </c>
      <c r="U56" s="14">
        <v>49.04954</v>
      </c>
      <c r="V56" s="14">
        <v>6.4076000000000004</v>
      </c>
      <c r="W56" s="14">
        <v>42.641939999999998</v>
      </c>
      <c r="X56" s="11">
        <v>159</v>
      </c>
      <c r="Y56" s="10">
        <v>43318</v>
      </c>
      <c r="Z56" s="11">
        <v>9845235505</v>
      </c>
      <c r="AA56" s="12" t="s">
        <v>126</v>
      </c>
      <c r="AB56" s="11" t="s">
        <v>115</v>
      </c>
      <c r="AC56" s="12" t="s">
        <v>116</v>
      </c>
      <c r="AD56" s="11" t="s">
        <v>44</v>
      </c>
      <c r="AE56" s="12" t="s">
        <v>45</v>
      </c>
      <c r="AF56" s="14">
        <v>0.49049540000000003</v>
      </c>
      <c r="AG56" s="11" t="s">
        <v>46</v>
      </c>
    </row>
    <row r="57" spans="1:33" x14ac:dyDescent="0.2">
      <c r="A57" s="8">
        <v>4412</v>
      </c>
      <c r="B57" s="9" t="s">
        <v>209</v>
      </c>
      <c r="C57" s="10">
        <v>43318</v>
      </c>
      <c r="D57" s="11">
        <v>40</v>
      </c>
      <c r="E57" s="12" t="s">
        <v>34</v>
      </c>
      <c r="F57" s="12" t="s">
        <v>35</v>
      </c>
      <c r="G57" s="12" t="s">
        <v>36</v>
      </c>
      <c r="H57" s="12" t="s">
        <v>37</v>
      </c>
      <c r="I57" s="11" t="s">
        <v>220</v>
      </c>
      <c r="J57" s="12" t="s">
        <v>221</v>
      </c>
      <c r="K57" s="13" t="s">
        <v>88</v>
      </c>
      <c r="L57" s="11" t="str">
        <f>"000183"</f>
        <v>000183</v>
      </c>
      <c r="M57" s="10">
        <v>42727</v>
      </c>
      <c r="N57" s="11" t="str">
        <f>"000229"</f>
        <v>000229</v>
      </c>
      <c r="O57" s="10">
        <v>42794</v>
      </c>
      <c r="P57" s="11" t="str">
        <f>"000474"</f>
        <v>000474</v>
      </c>
      <c r="Q57" s="10">
        <v>42794</v>
      </c>
      <c r="R57" s="11">
        <v>17</v>
      </c>
      <c r="S57" s="11" t="str">
        <f>"004715"</f>
        <v>004715</v>
      </c>
      <c r="T57" s="10">
        <v>43314</v>
      </c>
      <c r="U57" s="14">
        <v>24.753620000000002</v>
      </c>
      <c r="V57" s="14">
        <v>3.2260399999999998</v>
      </c>
      <c r="W57" s="14">
        <v>21.52758</v>
      </c>
      <c r="X57" s="11">
        <v>159</v>
      </c>
      <c r="Y57" s="10">
        <v>43318</v>
      </c>
      <c r="Z57" s="11">
        <v>9845235505</v>
      </c>
      <c r="AA57" s="12" t="s">
        <v>126</v>
      </c>
      <c r="AB57" s="11" t="s">
        <v>115</v>
      </c>
      <c r="AC57" s="12" t="s">
        <v>116</v>
      </c>
      <c r="AD57" s="11" t="s">
        <v>44</v>
      </c>
      <c r="AE57" s="12" t="s">
        <v>45</v>
      </c>
      <c r="AF57" s="14">
        <v>0.24753620000000001</v>
      </c>
      <c r="AG57" s="11" t="s">
        <v>46</v>
      </c>
    </row>
    <row r="58" spans="1:33" x14ac:dyDescent="0.2">
      <c r="A58" s="8">
        <v>4413</v>
      </c>
      <c r="B58" s="9" t="s">
        <v>209</v>
      </c>
      <c r="C58" s="10">
        <v>43318</v>
      </c>
      <c r="D58" s="11">
        <v>40</v>
      </c>
      <c r="E58" s="12" t="s">
        <v>34</v>
      </c>
      <c r="F58" s="12" t="s">
        <v>35</v>
      </c>
      <c r="G58" s="12" t="s">
        <v>36</v>
      </c>
      <c r="H58" s="12" t="s">
        <v>37</v>
      </c>
      <c r="I58" s="11" t="s">
        <v>222</v>
      </c>
      <c r="J58" s="12" t="s">
        <v>223</v>
      </c>
      <c r="K58" s="13" t="s">
        <v>88</v>
      </c>
      <c r="L58" s="11" t="str">
        <f>"000184"</f>
        <v>000184</v>
      </c>
      <c r="M58" s="10">
        <v>42727</v>
      </c>
      <c r="N58" s="11" t="str">
        <f>"000230"</f>
        <v>000230</v>
      </c>
      <c r="O58" s="10">
        <v>42794</v>
      </c>
      <c r="P58" s="11" t="str">
        <f>"000475"</f>
        <v>000475</v>
      </c>
      <c r="Q58" s="10">
        <v>42794</v>
      </c>
      <c r="R58" s="11">
        <v>17</v>
      </c>
      <c r="S58" s="11" t="str">
        <f>"004716"</f>
        <v>004716</v>
      </c>
      <c r="T58" s="10">
        <v>43314</v>
      </c>
      <c r="U58" s="14">
        <v>24.708079999999999</v>
      </c>
      <c r="V58" s="14">
        <v>3.2208800000000002</v>
      </c>
      <c r="W58" s="14">
        <v>21.487200000000001</v>
      </c>
      <c r="X58" s="11">
        <v>159</v>
      </c>
      <c r="Y58" s="10">
        <v>43318</v>
      </c>
      <c r="Z58" s="11">
        <v>9845235505</v>
      </c>
      <c r="AA58" s="12" t="s">
        <v>126</v>
      </c>
      <c r="AB58" s="11" t="s">
        <v>115</v>
      </c>
      <c r="AC58" s="12" t="s">
        <v>116</v>
      </c>
      <c r="AD58" s="11" t="s">
        <v>44</v>
      </c>
      <c r="AE58" s="12" t="s">
        <v>45</v>
      </c>
      <c r="AF58" s="14">
        <v>0.24708079999999999</v>
      </c>
      <c r="AG58" s="11" t="s">
        <v>46</v>
      </c>
    </row>
    <row r="59" spans="1:33" x14ac:dyDescent="0.2">
      <c r="A59" s="8">
        <v>4414</v>
      </c>
      <c r="B59" s="9" t="s">
        <v>209</v>
      </c>
      <c r="C59" s="10">
        <v>43318</v>
      </c>
      <c r="D59" s="11">
        <v>40</v>
      </c>
      <c r="E59" s="12" t="s">
        <v>34</v>
      </c>
      <c r="F59" s="12" t="s">
        <v>35</v>
      </c>
      <c r="G59" s="12" t="s">
        <v>36</v>
      </c>
      <c r="H59" s="12" t="s">
        <v>37</v>
      </c>
      <c r="I59" s="11" t="s">
        <v>224</v>
      </c>
      <c r="J59" s="12" t="s">
        <v>225</v>
      </c>
      <c r="K59" s="13" t="s">
        <v>40</v>
      </c>
      <c r="L59" s="11" t="str">
        <f>"000321"</f>
        <v>000321</v>
      </c>
      <c r="M59" s="10">
        <v>42809</v>
      </c>
      <c r="N59" s="11" t="str">
        <f>"000032"</f>
        <v>000032</v>
      </c>
      <c r="O59" s="10">
        <v>43013</v>
      </c>
      <c r="P59" s="11" t="str">
        <f>"000166"</f>
        <v>000166</v>
      </c>
      <c r="Q59" s="10">
        <v>43013</v>
      </c>
      <c r="R59" s="11">
        <v>17</v>
      </c>
      <c r="S59" s="11" t="str">
        <f>"004837"</f>
        <v>004837</v>
      </c>
      <c r="T59" s="10">
        <v>43315</v>
      </c>
      <c r="U59" s="14">
        <v>40.862070000000003</v>
      </c>
      <c r="V59" s="14">
        <v>2.9011999999999998</v>
      </c>
      <c r="W59" s="14">
        <v>37.96087</v>
      </c>
      <c r="X59" s="11">
        <v>160</v>
      </c>
      <c r="Y59" s="10">
        <v>43318</v>
      </c>
      <c r="Z59" s="11">
        <v>9845235505</v>
      </c>
      <c r="AA59" s="12" t="s">
        <v>135</v>
      </c>
      <c r="AB59" s="11" t="s">
        <v>42</v>
      </c>
      <c r="AC59" s="12" t="s">
        <v>43</v>
      </c>
      <c r="AD59" s="11" t="s">
        <v>44</v>
      </c>
      <c r="AE59" s="12" t="s">
        <v>45</v>
      </c>
      <c r="AF59" s="14">
        <v>0.4086207</v>
      </c>
      <c r="AG59" s="11" t="s">
        <v>46</v>
      </c>
    </row>
    <row r="60" spans="1:33" x14ac:dyDescent="0.2">
      <c r="A60" s="8">
        <v>4415</v>
      </c>
      <c r="B60" s="9" t="s">
        <v>209</v>
      </c>
      <c r="C60" s="10">
        <v>43318</v>
      </c>
      <c r="D60" s="11">
        <v>40</v>
      </c>
      <c r="E60" s="12" t="s">
        <v>34</v>
      </c>
      <c r="F60" s="12" t="s">
        <v>35</v>
      </c>
      <c r="G60" s="12" t="s">
        <v>36</v>
      </c>
      <c r="H60" s="12" t="s">
        <v>37</v>
      </c>
      <c r="I60" s="11" t="s">
        <v>226</v>
      </c>
      <c r="J60" s="12" t="s">
        <v>227</v>
      </c>
      <c r="K60" s="13" t="s">
        <v>122</v>
      </c>
      <c r="L60" s="11" t="str">
        <f>"000324"</f>
        <v>000324</v>
      </c>
      <c r="M60" s="10">
        <v>42809</v>
      </c>
      <c r="N60" s="11" t="str">
        <f>"000089"</f>
        <v>000089</v>
      </c>
      <c r="O60" s="10">
        <v>42916</v>
      </c>
      <c r="P60" s="11" t="str">
        <f>"000148"</f>
        <v>000148</v>
      </c>
      <c r="Q60" s="10">
        <v>42992</v>
      </c>
      <c r="R60" s="11">
        <v>17</v>
      </c>
      <c r="S60" s="11" t="str">
        <f>"004692"</f>
        <v>004692</v>
      </c>
      <c r="T60" s="10">
        <v>43313</v>
      </c>
      <c r="U60" s="14">
        <v>24.981929999999998</v>
      </c>
      <c r="V60" s="14">
        <v>3.0228100000000002</v>
      </c>
      <c r="W60" s="14">
        <v>21.959119999999999</v>
      </c>
      <c r="X60" s="11">
        <v>160</v>
      </c>
      <c r="Y60" s="10">
        <v>43318</v>
      </c>
      <c r="Z60" s="11">
        <v>9845235505</v>
      </c>
      <c r="AA60" s="12" t="s">
        <v>135</v>
      </c>
      <c r="AB60" s="11" t="s">
        <v>42</v>
      </c>
      <c r="AC60" s="12" t="s">
        <v>43</v>
      </c>
      <c r="AD60" s="11" t="s">
        <v>44</v>
      </c>
      <c r="AE60" s="12" t="s">
        <v>45</v>
      </c>
      <c r="AF60" s="14">
        <v>0.24981929999999999</v>
      </c>
      <c r="AG60" s="11" t="s">
        <v>46</v>
      </c>
    </row>
    <row r="61" spans="1:33" x14ac:dyDescent="0.2">
      <c r="A61" s="8">
        <v>4416</v>
      </c>
      <c r="B61" s="9" t="s">
        <v>209</v>
      </c>
      <c r="C61" s="10">
        <v>43318</v>
      </c>
      <c r="D61" s="11">
        <v>40</v>
      </c>
      <c r="E61" s="12" t="s">
        <v>34</v>
      </c>
      <c r="F61" s="12" t="s">
        <v>35</v>
      </c>
      <c r="G61" s="12" t="s">
        <v>36</v>
      </c>
      <c r="H61" s="12" t="s">
        <v>37</v>
      </c>
      <c r="I61" s="11" t="s">
        <v>228</v>
      </c>
      <c r="J61" s="12" t="s">
        <v>229</v>
      </c>
      <c r="K61" s="13" t="s">
        <v>122</v>
      </c>
      <c r="L61" s="11" t="str">
        <f>""</f>
        <v/>
      </c>
      <c r="M61" s="10">
        <v>320</v>
      </c>
      <c r="N61" s="11" t="str">
        <f>"000033"</f>
        <v>000033</v>
      </c>
      <c r="O61" s="10">
        <v>43013</v>
      </c>
      <c r="P61" s="11" t="str">
        <f>"000162"</f>
        <v>000162</v>
      </c>
      <c r="Q61" s="10">
        <v>43013</v>
      </c>
      <c r="R61" s="11">
        <v>17</v>
      </c>
      <c r="S61" s="11" t="str">
        <f>"004833"</f>
        <v>004833</v>
      </c>
      <c r="T61" s="10">
        <v>43315</v>
      </c>
      <c r="U61" s="14">
        <v>9.9925499999999996</v>
      </c>
      <c r="V61" s="14">
        <v>0.50960000000000005</v>
      </c>
      <c r="W61" s="14">
        <v>9.4829500000000007</v>
      </c>
      <c r="X61" s="11">
        <v>160</v>
      </c>
      <c r="Y61" s="10">
        <v>43318</v>
      </c>
      <c r="Z61" s="11">
        <v>9845235505</v>
      </c>
      <c r="AA61" s="12" t="s">
        <v>135</v>
      </c>
      <c r="AB61" s="11" t="s">
        <v>42</v>
      </c>
      <c r="AC61" s="12" t="s">
        <v>43</v>
      </c>
      <c r="AD61" s="11" t="s">
        <v>44</v>
      </c>
      <c r="AE61" s="12" t="s">
        <v>45</v>
      </c>
      <c r="AF61" s="14">
        <v>9.99255E-2</v>
      </c>
      <c r="AG61" s="11" t="s">
        <v>46</v>
      </c>
    </row>
    <row r="62" spans="1:33" x14ac:dyDescent="0.2">
      <c r="A62" s="8">
        <v>4417</v>
      </c>
      <c r="B62" s="9" t="s">
        <v>209</v>
      </c>
      <c r="C62" s="10">
        <v>43318</v>
      </c>
      <c r="D62" s="11">
        <v>40</v>
      </c>
      <c r="E62" s="12" t="s">
        <v>34</v>
      </c>
      <c r="F62" s="12" t="s">
        <v>35</v>
      </c>
      <c r="G62" s="12" t="s">
        <v>36</v>
      </c>
      <c r="H62" s="12" t="s">
        <v>37</v>
      </c>
      <c r="I62" s="11" t="s">
        <v>230</v>
      </c>
      <c r="J62" s="12" t="s">
        <v>231</v>
      </c>
      <c r="K62" s="13" t="s">
        <v>122</v>
      </c>
      <c r="L62" s="11" t="str">
        <f>"000322"</f>
        <v>000322</v>
      </c>
      <c r="M62" s="10">
        <v>42809</v>
      </c>
      <c r="N62" s="11" t="str">
        <f>"000035"</f>
        <v>000035</v>
      </c>
      <c r="O62" s="10">
        <v>43013</v>
      </c>
      <c r="P62" s="11" t="str">
        <f>"000163"</f>
        <v>000163</v>
      </c>
      <c r="Q62" s="10">
        <v>43013</v>
      </c>
      <c r="R62" s="11">
        <v>17</v>
      </c>
      <c r="S62" s="11" t="str">
        <f>"004834"</f>
        <v>004834</v>
      </c>
      <c r="T62" s="10">
        <v>43315</v>
      </c>
      <c r="U62" s="14">
        <v>49.989400000000003</v>
      </c>
      <c r="V62" s="14">
        <v>2.5495399999999999</v>
      </c>
      <c r="W62" s="14">
        <v>47.439860000000003</v>
      </c>
      <c r="X62" s="11">
        <v>160</v>
      </c>
      <c r="Y62" s="10">
        <v>43318</v>
      </c>
      <c r="Z62" s="11">
        <v>9845235505</v>
      </c>
      <c r="AA62" s="12" t="s">
        <v>232</v>
      </c>
      <c r="AB62" s="11" t="s">
        <v>42</v>
      </c>
      <c r="AC62" s="12" t="s">
        <v>43</v>
      </c>
      <c r="AD62" s="11" t="s">
        <v>44</v>
      </c>
      <c r="AE62" s="12" t="s">
        <v>45</v>
      </c>
      <c r="AF62" s="14">
        <v>0.49989400000000006</v>
      </c>
      <c r="AG62" s="11" t="s">
        <v>46</v>
      </c>
    </row>
    <row r="63" spans="1:33" x14ac:dyDescent="0.2">
      <c r="A63" s="8">
        <v>4418</v>
      </c>
      <c r="B63" s="9" t="s">
        <v>209</v>
      </c>
      <c r="C63" s="10">
        <v>43318</v>
      </c>
      <c r="D63" s="11">
        <v>40</v>
      </c>
      <c r="E63" s="12" t="s">
        <v>34</v>
      </c>
      <c r="F63" s="12" t="s">
        <v>35</v>
      </c>
      <c r="G63" s="12" t="s">
        <v>36</v>
      </c>
      <c r="H63" s="12" t="s">
        <v>37</v>
      </c>
      <c r="I63" s="11" t="s">
        <v>233</v>
      </c>
      <c r="J63" s="12" t="s">
        <v>234</v>
      </c>
      <c r="K63" s="13" t="s">
        <v>122</v>
      </c>
      <c r="L63" s="11" t="str">
        <f>""</f>
        <v/>
      </c>
      <c r="M63" s="10">
        <v>325</v>
      </c>
      <c r="N63" s="11" t="str">
        <f>"000034"</f>
        <v>000034</v>
      </c>
      <c r="O63" s="10">
        <v>43013</v>
      </c>
      <c r="P63" s="11" t="str">
        <f>"000164"</f>
        <v>000164</v>
      </c>
      <c r="Q63" s="10">
        <v>43013</v>
      </c>
      <c r="R63" s="11">
        <v>17</v>
      </c>
      <c r="S63" s="11" t="str">
        <f>"004835"</f>
        <v>004835</v>
      </c>
      <c r="T63" s="10">
        <v>43315</v>
      </c>
      <c r="U63" s="14">
        <v>39.990839999999999</v>
      </c>
      <c r="V63" s="14">
        <v>1.3196099999999999</v>
      </c>
      <c r="W63" s="14">
        <v>38.671230000000001</v>
      </c>
      <c r="X63" s="11">
        <v>160</v>
      </c>
      <c r="Y63" s="10">
        <v>43318</v>
      </c>
      <c r="Z63" s="11">
        <v>9845235505</v>
      </c>
      <c r="AA63" s="12" t="s">
        <v>135</v>
      </c>
      <c r="AB63" s="11" t="s">
        <v>42</v>
      </c>
      <c r="AC63" s="12" t="s">
        <v>43</v>
      </c>
      <c r="AD63" s="11" t="s">
        <v>44</v>
      </c>
      <c r="AE63" s="12" t="s">
        <v>45</v>
      </c>
      <c r="AF63" s="14">
        <v>0.3999084</v>
      </c>
      <c r="AG63" s="11" t="s">
        <v>46</v>
      </c>
    </row>
    <row r="64" spans="1:33" x14ac:dyDescent="0.2">
      <c r="A64" s="8">
        <v>4419</v>
      </c>
      <c r="B64" s="9" t="s">
        <v>209</v>
      </c>
      <c r="C64" s="10">
        <v>43318</v>
      </c>
      <c r="D64" s="11">
        <v>40</v>
      </c>
      <c r="E64" s="12" t="s">
        <v>34</v>
      </c>
      <c r="F64" s="12" t="s">
        <v>35</v>
      </c>
      <c r="G64" s="12" t="s">
        <v>36</v>
      </c>
      <c r="H64" s="12" t="s">
        <v>37</v>
      </c>
      <c r="I64" s="11" t="s">
        <v>224</v>
      </c>
      <c r="J64" s="12" t="s">
        <v>225</v>
      </c>
      <c r="K64" s="13" t="s">
        <v>122</v>
      </c>
      <c r="L64" s="11" t="str">
        <f>"000321"</f>
        <v>000321</v>
      </c>
      <c r="M64" s="10">
        <v>42809</v>
      </c>
      <c r="N64" s="11" t="str">
        <f>"000032"</f>
        <v>000032</v>
      </c>
      <c r="O64" s="10">
        <v>43013</v>
      </c>
      <c r="P64" s="11" t="str">
        <f>"000166"</f>
        <v>000166</v>
      </c>
      <c r="Q64" s="10">
        <v>43013</v>
      </c>
      <c r="R64" s="11">
        <v>17</v>
      </c>
      <c r="S64" s="11" t="str">
        <f>"004837"</f>
        <v>004837</v>
      </c>
      <c r="T64" s="10">
        <v>43315</v>
      </c>
      <c r="U64" s="14">
        <v>9.1258300000000006</v>
      </c>
      <c r="V64" s="14">
        <v>0.71794000000000002</v>
      </c>
      <c r="W64" s="14">
        <v>8.4078900000000001</v>
      </c>
      <c r="X64" s="11">
        <v>160</v>
      </c>
      <c r="Y64" s="10">
        <v>43318</v>
      </c>
      <c r="Z64" s="11">
        <v>9845235505</v>
      </c>
      <c r="AA64" s="12" t="s">
        <v>135</v>
      </c>
      <c r="AB64" s="11" t="s">
        <v>42</v>
      </c>
      <c r="AC64" s="12" t="s">
        <v>43</v>
      </c>
      <c r="AD64" s="11" t="s">
        <v>44</v>
      </c>
      <c r="AE64" s="12" t="s">
        <v>45</v>
      </c>
      <c r="AF64" s="14">
        <v>9.1258300000000001E-2</v>
      </c>
      <c r="AG64" s="11" t="s">
        <v>46</v>
      </c>
    </row>
    <row r="65" spans="1:33" x14ac:dyDescent="0.2">
      <c r="A65" s="8">
        <v>4754</v>
      </c>
      <c r="B65" s="9" t="s">
        <v>209</v>
      </c>
      <c r="C65" s="10">
        <v>43326</v>
      </c>
      <c r="D65" s="11">
        <v>40</v>
      </c>
      <c r="E65" s="12" t="s">
        <v>34</v>
      </c>
      <c r="F65" s="12" t="s">
        <v>35</v>
      </c>
      <c r="G65" s="12" t="s">
        <v>36</v>
      </c>
      <c r="H65" s="12" t="s">
        <v>37</v>
      </c>
      <c r="I65" s="11" t="s">
        <v>235</v>
      </c>
      <c r="J65" s="12" t="s">
        <v>236</v>
      </c>
      <c r="K65" s="13" t="s">
        <v>122</v>
      </c>
      <c r="L65" s="11" t="str">
        <f>""</f>
        <v/>
      </c>
      <c r="M65" s="10"/>
      <c r="N65" s="11" t="str">
        <f>"000044"</f>
        <v>000044</v>
      </c>
      <c r="O65" s="10">
        <v>43026</v>
      </c>
      <c r="P65" s="11" t="str">
        <f>"000182"</f>
        <v>000182</v>
      </c>
      <c r="Q65" s="10">
        <v>43031</v>
      </c>
      <c r="R65" s="11">
        <v>17</v>
      </c>
      <c r="S65" s="11" t="str">
        <f>"005026"</f>
        <v>005026</v>
      </c>
      <c r="T65" s="10">
        <v>43321</v>
      </c>
      <c r="U65" s="14">
        <v>2.0439799999999999</v>
      </c>
      <c r="V65" s="14">
        <v>0.14512</v>
      </c>
      <c r="W65" s="14">
        <v>1.89886</v>
      </c>
      <c r="X65" s="11">
        <v>171</v>
      </c>
      <c r="Y65" s="10">
        <v>43326</v>
      </c>
      <c r="Z65" s="11">
        <v>9845235505</v>
      </c>
      <c r="AA65" s="12" t="s">
        <v>135</v>
      </c>
      <c r="AB65" s="11" t="s">
        <v>42</v>
      </c>
      <c r="AC65" s="12" t="s">
        <v>43</v>
      </c>
      <c r="AD65" s="11" t="s">
        <v>44</v>
      </c>
      <c r="AE65" s="12" t="s">
        <v>45</v>
      </c>
      <c r="AF65" s="14">
        <v>2.0439799999999998E-2</v>
      </c>
      <c r="AG65" s="11" t="s">
        <v>46</v>
      </c>
    </row>
    <row r="66" spans="1:33" x14ac:dyDescent="0.2">
      <c r="A66" s="8">
        <v>4755</v>
      </c>
      <c r="B66" s="9" t="s">
        <v>209</v>
      </c>
      <c r="C66" s="10">
        <v>43326</v>
      </c>
      <c r="D66" s="11">
        <v>40</v>
      </c>
      <c r="E66" s="12" t="s">
        <v>34</v>
      </c>
      <c r="F66" s="12" t="s">
        <v>35</v>
      </c>
      <c r="G66" s="12" t="s">
        <v>36</v>
      </c>
      <c r="H66" s="12" t="s">
        <v>37</v>
      </c>
      <c r="I66" s="11" t="s">
        <v>235</v>
      </c>
      <c r="J66" s="12" t="s">
        <v>236</v>
      </c>
      <c r="K66" s="13" t="s">
        <v>122</v>
      </c>
      <c r="L66" s="11" t="str">
        <f>""</f>
        <v/>
      </c>
      <c r="M66" s="10"/>
      <c r="N66" s="11" t="str">
        <f>"000044"</f>
        <v>000044</v>
      </c>
      <c r="O66" s="10">
        <v>43026</v>
      </c>
      <c r="P66" s="11" t="str">
        <f>"000182"</f>
        <v>000182</v>
      </c>
      <c r="Q66" s="10">
        <v>43031</v>
      </c>
      <c r="R66" s="11">
        <v>17</v>
      </c>
      <c r="S66" s="11" t="str">
        <f>"005026"</f>
        <v>005026</v>
      </c>
      <c r="T66" s="10">
        <v>43321</v>
      </c>
      <c r="U66" s="14">
        <v>7.9488000000000003</v>
      </c>
      <c r="V66" s="14">
        <v>0.56433999999999995</v>
      </c>
      <c r="W66" s="14">
        <v>7.3844599999999998</v>
      </c>
      <c r="X66" s="11">
        <v>171</v>
      </c>
      <c r="Y66" s="10">
        <v>43326</v>
      </c>
      <c r="Z66" s="11">
        <v>9845235505</v>
      </c>
      <c r="AA66" s="12" t="s">
        <v>135</v>
      </c>
      <c r="AB66" s="11" t="s">
        <v>42</v>
      </c>
      <c r="AC66" s="12" t="s">
        <v>43</v>
      </c>
      <c r="AD66" s="11" t="s">
        <v>44</v>
      </c>
      <c r="AE66" s="12" t="s">
        <v>45</v>
      </c>
      <c r="AF66" s="14">
        <v>7.9488000000000003E-2</v>
      </c>
      <c r="AG66" s="11" t="s">
        <v>46</v>
      </c>
    </row>
    <row r="67" spans="1:33" x14ac:dyDescent="0.2">
      <c r="A67" s="8">
        <v>4756</v>
      </c>
      <c r="B67" s="9" t="s">
        <v>209</v>
      </c>
      <c r="C67" s="10">
        <v>43326</v>
      </c>
      <c r="D67" s="11">
        <v>40</v>
      </c>
      <c r="E67" s="12" t="s">
        <v>34</v>
      </c>
      <c r="F67" s="12" t="s">
        <v>35</v>
      </c>
      <c r="G67" s="12" t="s">
        <v>36</v>
      </c>
      <c r="H67" s="12" t="s">
        <v>37</v>
      </c>
      <c r="I67" s="11" t="s">
        <v>237</v>
      </c>
      <c r="J67" s="12" t="s">
        <v>238</v>
      </c>
      <c r="K67" s="13" t="s">
        <v>122</v>
      </c>
      <c r="L67" s="11" t="str">
        <f>""</f>
        <v/>
      </c>
      <c r="M67" s="10">
        <v>326</v>
      </c>
      <c r="N67" s="11" t="str">
        <f>"000041"</f>
        <v>000041</v>
      </c>
      <c r="O67" s="10">
        <v>43026</v>
      </c>
      <c r="P67" s="11" t="str">
        <f>"000181"</f>
        <v>000181</v>
      </c>
      <c r="Q67" s="10">
        <v>43031</v>
      </c>
      <c r="R67" s="11">
        <v>17</v>
      </c>
      <c r="S67" s="11" t="str">
        <f>"005029"</f>
        <v>005029</v>
      </c>
      <c r="T67" s="10">
        <v>43321</v>
      </c>
      <c r="U67" s="14">
        <v>34.92897</v>
      </c>
      <c r="V67" s="14">
        <v>4.2263799999999998</v>
      </c>
      <c r="W67" s="14">
        <v>30.702590000000001</v>
      </c>
      <c r="X67" s="11">
        <v>171</v>
      </c>
      <c r="Y67" s="10">
        <v>43326</v>
      </c>
      <c r="Z67" s="11">
        <v>9845035505</v>
      </c>
      <c r="AA67" s="12" t="s">
        <v>135</v>
      </c>
      <c r="AB67" s="11" t="s">
        <v>42</v>
      </c>
      <c r="AC67" s="12" t="s">
        <v>43</v>
      </c>
      <c r="AD67" s="11" t="s">
        <v>44</v>
      </c>
      <c r="AE67" s="12" t="s">
        <v>45</v>
      </c>
      <c r="AF67" s="14">
        <v>0.34928969999999998</v>
      </c>
      <c r="AG67" s="11" t="s">
        <v>46</v>
      </c>
    </row>
    <row r="68" spans="1:33" x14ac:dyDescent="0.2">
      <c r="A68" s="8">
        <v>4757</v>
      </c>
      <c r="B68" s="9" t="s">
        <v>209</v>
      </c>
      <c r="C68" s="10">
        <v>43326</v>
      </c>
      <c r="D68" s="11">
        <v>40</v>
      </c>
      <c r="E68" s="12" t="s">
        <v>34</v>
      </c>
      <c r="F68" s="12" t="s">
        <v>35</v>
      </c>
      <c r="G68" s="12" t="s">
        <v>36</v>
      </c>
      <c r="H68" s="12" t="s">
        <v>37</v>
      </c>
      <c r="I68" s="11" t="s">
        <v>239</v>
      </c>
      <c r="J68" s="12" t="s">
        <v>240</v>
      </c>
      <c r="K68" s="13" t="s">
        <v>122</v>
      </c>
      <c r="L68" s="11" t="str">
        <f>""</f>
        <v/>
      </c>
      <c r="M68" s="10">
        <v>206</v>
      </c>
      <c r="N68" s="11" t="str">
        <f>"000040"</f>
        <v>000040</v>
      </c>
      <c r="O68" s="10">
        <v>43025</v>
      </c>
      <c r="P68" s="11" t="str">
        <f>"000179"</f>
        <v>000179</v>
      </c>
      <c r="Q68" s="10">
        <v>43025</v>
      </c>
      <c r="R68" s="11">
        <v>17</v>
      </c>
      <c r="S68" s="11" t="str">
        <f>"005094"</f>
        <v>005094</v>
      </c>
      <c r="T68" s="10">
        <v>43322</v>
      </c>
      <c r="U68" s="14">
        <v>39.990839999999999</v>
      </c>
      <c r="V68" s="14">
        <v>2.83935</v>
      </c>
      <c r="W68" s="14">
        <v>37.151490000000003</v>
      </c>
      <c r="X68" s="11">
        <v>171</v>
      </c>
      <c r="Y68" s="10">
        <v>43326</v>
      </c>
      <c r="Z68" s="11">
        <v>9845035505</v>
      </c>
      <c r="AA68" s="12" t="s">
        <v>135</v>
      </c>
      <c r="AB68" s="11" t="s">
        <v>241</v>
      </c>
      <c r="AC68" s="12" t="s">
        <v>242</v>
      </c>
      <c r="AD68" s="11" t="s">
        <v>44</v>
      </c>
      <c r="AE68" s="12" t="s">
        <v>45</v>
      </c>
      <c r="AF68" s="14">
        <v>0.3999084</v>
      </c>
      <c r="AG68" s="11" t="s">
        <v>46</v>
      </c>
    </row>
    <row r="69" spans="1:33" x14ac:dyDescent="0.2">
      <c r="A69" s="8">
        <v>5128</v>
      </c>
      <c r="B69" s="9" t="s">
        <v>209</v>
      </c>
      <c r="C69" s="10">
        <v>43339</v>
      </c>
      <c r="D69" s="11">
        <v>40</v>
      </c>
      <c r="E69" s="12" t="s">
        <v>34</v>
      </c>
      <c r="F69" s="12" t="s">
        <v>35</v>
      </c>
      <c r="G69" s="12" t="s">
        <v>36</v>
      </c>
      <c r="H69" s="12" t="s">
        <v>37</v>
      </c>
      <c r="I69" s="11" t="s">
        <v>243</v>
      </c>
      <c r="J69" s="12" t="s">
        <v>244</v>
      </c>
      <c r="K69" s="13" t="s">
        <v>77</v>
      </c>
      <c r="L69" s="11" t="str">
        <f>"000377"</f>
        <v>000377</v>
      </c>
      <c r="M69" s="10">
        <v>43172</v>
      </c>
      <c r="N69" s="11" t="str">
        <f>"000091"</f>
        <v>000091</v>
      </c>
      <c r="O69" s="10">
        <v>43270</v>
      </c>
      <c r="P69" s="11" t="str">
        <f>"000212"</f>
        <v>000212</v>
      </c>
      <c r="Q69" s="10">
        <v>43277</v>
      </c>
      <c r="R69" s="11">
        <v>17</v>
      </c>
      <c r="S69" s="11" t="str">
        <f>"005391"</f>
        <v>005391</v>
      </c>
      <c r="T69" s="10">
        <v>43339</v>
      </c>
      <c r="U69" s="14">
        <v>1.3962000000000001</v>
      </c>
      <c r="V69" s="14">
        <v>4.3279999999999999E-2</v>
      </c>
      <c r="W69" s="14">
        <v>1.3529199999999999</v>
      </c>
      <c r="X69" s="11">
        <v>184</v>
      </c>
      <c r="Y69" s="10">
        <v>43339</v>
      </c>
      <c r="Z69" s="11">
        <v>7760304555</v>
      </c>
      <c r="AA69" s="12" t="s">
        <v>245</v>
      </c>
      <c r="AB69" s="11" t="s">
        <v>51</v>
      </c>
      <c r="AC69" s="12" t="s">
        <v>52</v>
      </c>
      <c r="AD69" s="11" t="s">
        <v>44</v>
      </c>
      <c r="AE69" s="12" t="s">
        <v>45</v>
      </c>
      <c r="AF69" s="14">
        <v>1.3962E-2</v>
      </c>
      <c r="AG69" s="11" t="s">
        <v>92</v>
      </c>
    </row>
    <row r="70" spans="1:33" x14ac:dyDescent="0.2">
      <c r="A70" s="8">
        <v>5623</v>
      </c>
      <c r="B70" s="9" t="s">
        <v>246</v>
      </c>
      <c r="C70" s="10">
        <v>43370</v>
      </c>
      <c r="D70" s="11">
        <v>40</v>
      </c>
      <c r="E70" s="12" t="s">
        <v>34</v>
      </c>
      <c r="F70" s="12" t="s">
        <v>35</v>
      </c>
      <c r="G70" s="12" t="s">
        <v>36</v>
      </c>
      <c r="H70" s="12" t="s">
        <v>37</v>
      </c>
      <c r="I70" s="11" t="s">
        <v>247</v>
      </c>
      <c r="J70" s="12" t="s">
        <v>248</v>
      </c>
      <c r="K70" s="13" t="s">
        <v>122</v>
      </c>
      <c r="L70" s="11" t="str">
        <f>"000204"</f>
        <v>000204</v>
      </c>
      <c r="M70" s="10">
        <v>42768</v>
      </c>
      <c r="N70" s="11" t="str">
        <f>"000070"</f>
        <v>000070</v>
      </c>
      <c r="O70" s="10">
        <v>43084</v>
      </c>
      <c r="P70" s="11" t="str">
        <f>"000261"</f>
        <v>000261</v>
      </c>
      <c r="Q70" s="10">
        <v>43088</v>
      </c>
      <c r="R70" s="11">
        <v>17</v>
      </c>
      <c r="S70" s="11" t="str">
        <f>"005919"</f>
        <v>005919</v>
      </c>
      <c r="T70" s="10">
        <v>43368</v>
      </c>
      <c r="U70" s="14">
        <v>49.049169999999997</v>
      </c>
      <c r="V70" s="14">
        <v>3.9729800000000002</v>
      </c>
      <c r="W70" s="14">
        <v>45.076189999999997</v>
      </c>
      <c r="X70" s="11">
        <v>218</v>
      </c>
      <c r="Y70" s="10">
        <v>43370</v>
      </c>
      <c r="Z70" s="11">
        <v>9845235505</v>
      </c>
      <c r="AA70" s="12" t="s">
        <v>249</v>
      </c>
      <c r="AB70" s="11" t="s">
        <v>115</v>
      </c>
      <c r="AC70" s="12" t="s">
        <v>116</v>
      </c>
      <c r="AD70" s="11" t="s">
        <v>44</v>
      </c>
      <c r="AE70" s="12" t="s">
        <v>45</v>
      </c>
      <c r="AF70" s="14">
        <f t="shared" ref="AF70:AF115" si="0">U70/100</f>
        <v>0.49049169999999997</v>
      </c>
      <c r="AG70" s="11" t="s">
        <v>46</v>
      </c>
    </row>
    <row r="71" spans="1:33" x14ac:dyDescent="0.2">
      <c r="A71" s="8">
        <v>5970</v>
      </c>
      <c r="B71" s="9" t="s">
        <v>250</v>
      </c>
      <c r="C71" s="10">
        <v>43385</v>
      </c>
      <c r="D71" s="11">
        <v>40</v>
      </c>
      <c r="E71" s="12" t="s">
        <v>34</v>
      </c>
      <c r="F71" s="12" t="s">
        <v>35</v>
      </c>
      <c r="G71" s="12" t="s">
        <v>36</v>
      </c>
      <c r="H71" s="12" t="s">
        <v>37</v>
      </c>
      <c r="I71" s="11" t="s">
        <v>70</v>
      </c>
      <c r="J71" s="12" t="s">
        <v>71</v>
      </c>
      <c r="K71" s="13" t="s">
        <v>40</v>
      </c>
      <c r="L71" s="11" t="str">
        <f>"000072"</f>
        <v>000072</v>
      </c>
      <c r="M71" s="10">
        <v>42602</v>
      </c>
      <c r="N71" s="11" t="str">
        <f>"000222"</f>
        <v>000222</v>
      </c>
      <c r="O71" s="10">
        <v>42768</v>
      </c>
      <c r="P71" s="11" t="str">
        <f>"000436"</f>
        <v>000436</v>
      </c>
      <c r="Q71" s="10">
        <v>42772</v>
      </c>
      <c r="R71" s="11">
        <v>17</v>
      </c>
      <c r="S71" s="11" t="str">
        <f>"008137"</f>
        <v>008137</v>
      </c>
      <c r="T71" s="10">
        <v>42804</v>
      </c>
      <c r="U71" s="14">
        <v>52.175629999999998</v>
      </c>
      <c r="V71" s="14">
        <v>2.1954500000000001</v>
      </c>
      <c r="W71" s="14">
        <v>49.980179999999997</v>
      </c>
      <c r="X71" s="11">
        <v>227</v>
      </c>
      <c r="Y71" s="10">
        <v>43385</v>
      </c>
      <c r="Z71" s="11">
        <v>9448450661</v>
      </c>
      <c r="AA71" s="12" t="s">
        <v>72</v>
      </c>
      <c r="AB71" s="11" t="s">
        <v>73</v>
      </c>
      <c r="AC71" s="12" t="s">
        <v>74</v>
      </c>
      <c r="AD71" s="11" t="s">
        <v>44</v>
      </c>
      <c r="AE71" s="12" t="s">
        <v>45</v>
      </c>
      <c r="AF71" s="14">
        <f t="shared" si="0"/>
        <v>0.52175629999999995</v>
      </c>
      <c r="AG71" s="11" t="s">
        <v>46</v>
      </c>
    </row>
    <row r="72" spans="1:33" x14ac:dyDescent="0.2">
      <c r="A72" s="8">
        <v>5971</v>
      </c>
      <c r="B72" s="9" t="s">
        <v>250</v>
      </c>
      <c r="C72" s="10">
        <v>43385</v>
      </c>
      <c r="D72" s="11">
        <v>40</v>
      </c>
      <c r="E72" s="12" t="s">
        <v>34</v>
      </c>
      <c r="F72" s="12" t="s">
        <v>35</v>
      </c>
      <c r="G72" s="12" t="s">
        <v>36</v>
      </c>
      <c r="H72" s="12" t="s">
        <v>37</v>
      </c>
      <c r="I72" s="11" t="s">
        <v>251</v>
      </c>
      <c r="J72" s="12" t="s">
        <v>252</v>
      </c>
      <c r="K72" s="13" t="s">
        <v>40</v>
      </c>
      <c r="L72" s="11" t="str">
        <f>"000240"</f>
        <v>000240</v>
      </c>
      <c r="M72" s="10">
        <v>42789</v>
      </c>
      <c r="N72" s="11" t="str">
        <f>"000003"</f>
        <v>000003</v>
      </c>
      <c r="O72" s="10">
        <v>43194</v>
      </c>
      <c r="P72" s="11" t="str">
        <f>"000035"</f>
        <v>000035</v>
      </c>
      <c r="Q72" s="10">
        <v>43201</v>
      </c>
      <c r="R72" s="11">
        <v>17</v>
      </c>
      <c r="S72" s="11" t="str">
        <f>"006299"</f>
        <v>006299</v>
      </c>
      <c r="T72" s="10">
        <v>43380</v>
      </c>
      <c r="U72" s="14">
        <v>46.632069999999999</v>
      </c>
      <c r="V72" s="14">
        <v>4.0599400000000001</v>
      </c>
      <c r="W72" s="14">
        <v>42.572130000000001</v>
      </c>
      <c r="X72" s="11">
        <v>228</v>
      </c>
      <c r="Y72" s="10">
        <v>43385</v>
      </c>
      <c r="Z72" s="11">
        <v>9845235505</v>
      </c>
      <c r="AA72" s="12" t="s">
        <v>126</v>
      </c>
      <c r="AB72" s="11" t="s">
        <v>73</v>
      </c>
      <c r="AC72" s="12" t="s">
        <v>74</v>
      </c>
      <c r="AD72" s="11" t="s">
        <v>44</v>
      </c>
      <c r="AE72" s="12" t="s">
        <v>45</v>
      </c>
      <c r="AF72" s="14">
        <f t="shared" si="0"/>
        <v>0.46632069999999998</v>
      </c>
      <c r="AG72" s="11" t="s">
        <v>92</v>
      </c>
    </row>
    <row r="73" spans="1:33" x14ac:dyDescent="0.2">
      <c r="A73" s="8">
        <v>5972</v>
      </c>
      <c r="B73" s="9" t="s">
        <v>250</v>
      </c>
      <c r="C73" s="10">
        <v>43385</v>
      </c>
      <c r="D73" s="11">
        <v>40</v>
      </c>
      <c r="E73" s="12" t="s">
        <v>34</v>
      </c>
      <c r="F73" s="12" t="s">
        <v>35</v>
      </c>
      <c r="G73" s="12" t="s">
        <v>36</v>
      </c>
      <c r="H73" s="12" t="s">
        <v>37</v>
      </c>
      <c r="I73" s="11" t="s">
        <v>70</v>
      </c>
      <c r="J73" s="12" t="s">
        <v>71</v>
      </c>
      <c r="K73" s="13" t="s">
        <v>40</v>
      </c>
      <c r="L73" s="11" t="str">
        <f>"000072"</f>
        <v>000072</v>
      </c>
      <c r="M73" s="10">
        <v>42602</v>
      </c>
      <c r="N73" s="11" t="str">
        <f>"000222"</f>
        <v>000222</v>
      </c>
      <c r="O73" s="10">
        <v>42768</v>
      </c>
      <c r="P73" s="11" t="str">
        <f>"000436"</f>
        <v>000436</v>
      </c>
      <c r="Q73" s="10">
        <v>42772</v>
      </c>
      <c r="R73" s="11">
        <v>17</v>
      </c>
      <c r="S73" s="11" t="str">
        <f>"008137"</f>
        <v>008137</v>
      </c>
      <c r="T73" s="10">
        <v>42804</v>
      </c>
      <c r="U73" s="14">
        <v>52.175629999999998</v>
      </c>
      <c r="V73" s="14">
        <v>2.1954500000000001</v>
      </c>
      <c r="W73" s="14">
        <v>49.980179999999997</v>
      </c>
      <c r="X73" s="11">
        <v>227</v>
      </c>
      <c r="Y73" s="10">
        <v>43385</v>
      </c>
      <c r="Z73" s="11">
        <v>9448450661</v>
      </c>
      <c r="AA73" s="12" t="s">
        <v>72</v>
      </c>
      <c r="AB73" s="11" t="s">
        <v>73</v>
      </c>
      <c r="AC73" s="12" t="s">
        <v>74</v>
      </c>
      <c r="AD73" s="11" t="s">
        <v>44</v>
      </c>
      <c r="AE73" s="12" t="s">
        <v>45</v>
      </c>
      <c r="AF73" s="14">
        <f t="shared" si="0"/>
        <v>0.52175629999999995</v>
      </c>
      <c r="AG73" s="11" t="s">
        <v>46</v>
      </c>
    </row>
    <row r="74" spans="1:33" x14ac:dyDescent="0.2">
      <c r="A74" s="8">
        <v>5973</v>
      </c>
      <c r="B74" s="9" t="s">
        <v>250</v>
      </c>
      <c r="C74" s="10">
        <v>43385</v>
      </c>
      <c r="D74" s="11">
        <v>40</v>
      </c>
      <c r="E74" s="12" t="s">
        <v>34</v>
      </c>
      <c r="F74" s="12" t="s">
        <v>35</v>
      </c>
      <c r="G74" s="12" t="s">
        <v>36</v>
      </c>
      <c r="H74" s="12" t="s">
        <v>37</v>
      </c>
      <c r="I74" s="11" t="s">
        <v>251</v>
      </c>
      <c r="J74" s="12" t="s">
        <v>252</v>
      </c>
      <c r="K74" s="13" t="s">
        <v>40</v>
      </c>
      <c r="L74" s="11" t="str">
        <f>"000240"</f>
        <v>000240</v>
      </c>
      <c r="M74" s="10">
        <v>42789</v>
      </c>
      <c r="N74" s="11" t="str">
        <f>"000003"</f>
        <v>000003</v>
      </c>
      <c r="O74" s="10">
        <v>43194</v>
      </c>
      <c r="P74" s="11" t="str">
        <f>"000035"</f>
        <v>000035</v>
      </c>
      <c r="Q74" s="10">
        <v>43201</v>
      </c>
      <c r="R74" s="11">
        <v>17</v>
      </c>
      <c r="S74" s="11" t="str">
        <f>"006299"</f>
        <v>006299</v>
      </c>
      <c r="T74" s="10">
        <v>43380</v>
      </c>
      <c r="U74" s="14">
        <v>46.632069999999999</v>
      </c>
      <c r="V74" s="14">
        <v>4.0599400000000001</v>
      </c>
      <c r="W74" s="14">
        <v>42.572130000000001</v>
      </c>
      <c r="X74" s="11">
        <v>228</v>
      </c>
      <c r="Y74" s="10">
        <v>43385</v>
      </c>
      <c r="Z74" s="11">
        <v>9845235505</v>
      </c>
      <c r="AA74" s="12" t="s">
        <v>126</v>
      </c>
      <c r="AB74" s="11" t="s">
        <v>73</v>
      </c>
      <c r="AC74" s="12" t="s">
        <v>74</v>
      </c>
      <c r="AD74" s="11" t="s">
        <v>44</v>
      </c>
      <c r="AE74" s="12" t="s">
        <v>45</v>
      </c>
      <c r="AF74" s="14">
        <f t="shared" si="0"/>
        <v>0.46632069999999998</v>
      </c>
      <c r="AG74" s="11" t="s">
        <v>92</v>
      </c>
    </row>
    <row r="75" spans="1:33" x14ac:dyDescent="0.2">
      <c r="A75" s="8">
        <v>5974</v>
      </c>
      <c r="B75" s="9" t="s">
        <v>250</v>
      </c>
      <c r="C75" s="10">
        <v>43385</v>
      </c>
      <c r="D75" s="11">
        <v>40</v>
      </c>
      <c r="E75" s="12" t="s">
        <v>34</v>
      </c>
      <c r="F75" s="12" t="s">
        <v>35</v>
      </c>
      <c r="G75" s="12" t="s">
        <v>36</v>
      </c>
      <c r="H75" s="12" t="s">
        <v>37</v>
      </c>
      <c r="I75" s="11" t="s">
        <v>253</v>
      </c>
      <c r="J75" s="12" t="s">
        <v>254</v>
      </c>
      <c r="K75" s="13" t="s">
        <v>88</v>
      </c>
      <c r="L75" s="11" t="str">
        <f>"000161"</f>
        <v>000161</v>
      </c>
      <c r="M75" s="10">
        <v>43244</v>
      </c>
      <c r="N75" s="11" t="str">
        <f>"000167"</f>
        <v>000167</v>
      </c>
      <c r="O75" s="10">
        <v>43425</v>
      </c>
      <c r="P75" s="11" t="str">
        <f>"000355"</f>
        <v>000355</v>
      </c>
      <c r="Q75" s="10">
        <v>43426</v>
      </c>
      <c r="R75" s="11">
        <v>18</v>
      </c>
      <c r="S75" s="11" t="str">
        <f>"008443"</f>
        <v>008443</v>
      </c>
      <c r="T75" s="10">
        <v>43463</v>
      </c>
      <c r="U75" s="14">
        <v>34.295000000000002</v>
      </c>
      <c r="V75" s="14">
        <v>2.9979</v>
      </c>
      <c r="W75" s="14">
        <v>31.2971</v>
      </c>
      <c r="X75" s="11">
        <v>232</v>
      </c>
      <c r="Y75" s="10">
        <v>43385</v>
      </c>
      <c r="Z75" s="11">
        <v>9845235505</v>
      </c>
      <c r="AA75" s="12" t="s">
        <v>89</v>
      </c>
      <c r="AB75" s="11" t="s">
        <v>73</v>
      </c>
      <c r="AC75" s="12" t="s">
        <v>74</v>
      </c>
      <c r="AD75" s="11" t="s">
        <v>44</v>
      </c>
      <c r="AE75" s="12" t="s">
        <v>45</v>
      </c>
      <c r="AF75" s="14">
        <f t="shared" si="0"/>
        <v>0.34295000000000003</v>
      </c>
      <c r="AG75" s="11" t="s">
        <v>180</v>
      </c>
    </row>
    <row r="76" spans="1:33" x14ac:dyDescent="0.2">
      <c r="A76" s="8">
        <v>5975</v>
      </c>
      <c r="B76" s="9" t="s">
        <v>250</v>
      </c>
      <c r="C76" s="10">
        <v>43385</v>
      </c>
      <c r="D76" s="11">
        <v>40</v>
      </c>
      <c r="E76" s="12" t="s">
        <v>34</v>
      </c>
      <c r="F76" s="12" t="s">
        <v>35</v>
      </c>
      <c r="G76" s="12" t="s">
        <v>36</v>
      </c>
      <c r="H76" s="12" t="s">
        <v>37</v>
      </c>
      <c r="I76" s="11" t="s">
        <v>255</v>
      </c>
      <c r="J76" s="12" t="s">
        <v>256</v>
      </c>
      <c r="K76" s="13" t="s">
        <v>88</v>
      </c>
      <c r="L76" s="11" t="str">
        <f>"000160"</f>
        <v>000160</v>
      </c>
      <c r="M76" s="10">
        <v>43244</v>
      </c>
      <c r="N76" s="11" t="str">
        <f>"000165"</f>
        <v>000165</v>
      </c>
      <c r="O76" s="10">
        <v>43425</v>
      </c>
      <c r="P76" s="11" t="str">
        <f>"000356"</f>
        <v>000356</v>
      </c>
      <c r="Q76" s="10">
        <v>43426</v>
      </c>
      <c r="R76" s="11">
        <v>18</v>
      </c>
      <c r="S76" s="11" t="str">
        <f>"008444"</f>
        <v>008444</v>
      </c>
      <c r="T76" s="10">
        <v>43463</v>
      </c>
      <c r="U76" s="14">
        <v>34.643819999999998</v>
      </c>
      <c r="V76" s="14">
        <v>3.0261499999999999</v>
      </c>
      <c r="W76" s="14">
        <v>31.61767</v>
      </c>
      <c r="X76" s="11">
        <v>232</v>
      </c>
      <c r="Y76" s="10">
        <v>43385</v>
      </c>
      <c r="Z76" s="11">
        <v>9845235505</v>
      </c>
      <c r="AA76" s="12" t="s">
        <v>89</v>
      </c>
      <c r="AB76" s="11" t="s">
        <v>73</v>
      </c>
      <c r="AC76" s="12" t="s">
        <v>74</v>
      </c>
      <c r="AD76" s="11" t="s">
        <v>44</v>
      </c>
      <c r="AE76" s="12" t="s">
        <v>45</v>
      </c>
      <c r="AF76" s="14">
        <f t="shared" si="0"/>
        <v>0.34643819999999997</v>
      </c>
      <c r="AG76" s="11" t="s">
        <v>180</v>
      </c>
    </row>
    <row r="77" spans="1:33" x14ac:dyDescent="0.2">
      <c r="A77" s="8">
        <v>5976</v>
      </c>
      <c r="B77" s="9" t="s">
        <v>250</v>
      </c>
      <c r="C77" s="10">
        <v>43385</v>
      </c>
      <c r="D77" s="11">
        <v>40</v>
      </c>
      <c r="E77" s="12" t="s">
        <v>34</v>
      </c>
      <c r="F77" s="12" t="s">
        <v>35</v>
      </c>
      <c r="G77" s="12" t="s">
        <v>36</v>
      </c>
      <c r="H77" s="12" t="s">
        <v>37</v>
      </c>
      <c r="I77" s="11" t="s">
        <v>257</v>
      </c>
      <c r="J77" s="12" t="s">
        <v>258</v>
      </c>
      <c r="K77" s="13" t="s">
        <v>88</v>
      </c>
      <c r="L77" s="11" t="str">
        <f>"000157"</f>
        <v>000157</v>
      </c>
      <c r="M77" s="10">
        <v>43244</v>
      </c>
      <c r="N77" s="11" t="str">
        <f>"000172"</f>
        <v>000172</v>
      </c>
      <c r="O77" s="10">
        <v>43425</v>
      </c>
      <c r="P77" s="11" t="str">
        <f>"000359"</f>
        <v>000359</v>
      </c>
      <c r="Q77" s="10">
        <v>43427</v>
      </c>
      <c r="R77" s="11">
        <v>18</v>
      </c>
      <c r="S77" s="11" t="str">
        <f>"008449"</f>
        <v>008449</v>
      </c>
      <c r="T77" s="10">
        <v>43463</v>
      </c>
      <c r="U77" s="14">
        <v>23.849070000000001</v>
      </c>
      <c r="V77" s="14">
        <v>2.1117699999999999</v>
      </c>
      <c r="W77" s="14">
        <v>21.737300000000001</v>
      </c>
      <c r="X77" s="11">
        <v>232</v>
      </c>
      <c r="Y77" s="10">
        <v>43385</v>
      </c>
      <c r="Z77" s="11">
        <v>9845235505</v>
      </c>
      <c r="AA77" s="12" t="s">
        <v>89</v>
      </c>
      <c r="AB77" s="11" t="s">
        <v>73</v>
      </c>
      <c r="AC77" s="12" t="s">
        <v>74</v>
      </c>
      <c r="AD77" s="11" t="s">
        <v>44</v>
      </c>
      <c r="AE77" s="12" t="s">
        <v>45</v>
      </c>
      <c r="AF77" s="14">
        <f t="shared" si="0"/>
        <v>0.2384907</v>
      </c>
      <c r="AG77" s="11" t="s">
        <v>180</v>
      </c>
    </row>
    <row r="78" spans="1:33" x14ac:dyDescent="0.2">
      <c r="A78" s="8">
        <v>5977</v>
      </c>
      <c r="B78" s="9" t="s">
        <v>250</v>
      </c>
      <c r="C78" s="10">
        <v>43385</v>
      </c>
      <c r="D78" s="11">
        <v>40</v>
      </c>
      <c r="E78" s="12" t="s">
        <v>34</v>
      </c>
      <c r="F78" s="12" t="s">
        <v>35</v>
      </c>
      <c r="G78" s="12" t="s">
        <v>36</v>
      </c>
      <c r="H78" s="12" t="s">
        <v>37</v>
      </c>
      <c r="I78" s="11" t="s">
        <v>259</v>
      </c>
      <c r="J78" s="12" t="s">
        <v>260</v>
      </c>
      <c r="K78" s="13" t="s">
        <v>88</v>
      </c>
      <c r="L78" s="11" t="str">
        <f>"000158"</f>
        <v>000158</v>
      </c>
      <c r="M78" s="10">
        <v>43244</v>
      </c>
      <c r="N78" s="11" t="str">
        <f>"000169"</f>
        <v>000169</v>
      </c>
      <c r="O78" s="10">
        <v>43425</v>
      </c>
      <c r="P78" s="11" t="str">
        <f>"000352"</f>
        <v>000352</v>
      </c>
      <c r="Q78" s="10">
        <v>43426</v>
      </c>
      <c r="R78" s="11">
        <v>18</v>
      </c>
      <c r="S78" s="11" t="str">
        <f>"008440"</f>
        <v>008440</v>
      </c>
      <c r="T78" s="10">
        <v>43463</v>
      </c>
      <c r="U78" s="14">
        <v>34.711129999999997</v>
      </c>
      <c r="V78" s="14">
        <v>3.0316000000000001</v>
      </c>
      <c r="W78" s="14">
        <v>31.67953</v>
      </c>
      <c r="X78" s="11">
        <v>232</v>
      </c>
      <c r="Y78" s="10">
        <v>43385</v>
      </c>
      <c r="Z78" s="11">
        <v>9845235505</v>
      </c>
      <c r="AA78" s="12" t="s">
        <v>89</v>
      </c>
      <c r="AB78" s="11" t="s">
        <v>73</v>
      </c>
      <c r="AC78" s="12" t="s">
        <v>74</v>
      </c>
      <c r="AD78" s="11" t="s">
        <v>44</v>
      </c>
      <c r="AE78" s="12" t="s">
        <v>45</v>
      </c>
      <c r="AF78" s="14">
        <f t="shared" si="0"/>
        <v>0.34711129999999996</v>
      </c>
      <c r="AG78" s="11" t="s">
        <v>180</v>
      </c>
    </row>
    <row r="79" spans="1:33" x14ac:dyDescent="0.2">
      <c r="A79" s="8">
        <v>5978</v>
      </c>
      <c r="B79" s="9" t="s">
        <v>250</v>
      </c>
      <c r="C79" s="10">
        <v>43385</v>
      </c>
      <c r="D79" s="11">
        <v>40</v>
      </c>
      <c r="E79" s="12" t="s">
        <v>34</v>
      </c>
      <c r="F79" s="12" t="s">
        <v>35</v>
      </c>
      <c r="G79" s="12" t="s">
        <v>36</v>
      </c>
      <c r="H79" s="12" t="s">
        <v>37</v>
      </c>
      <c r="I79" s="11" t="s">
        <v>261</v>
      </c>
      <c r="J79" s="12" t="s">
        <v>262</v>
      </c>
      <c r="K79" s="13" t="s">
        <v>88</v>
      </c>
      <c r="L79" s="11" t="str">
        <f>"000163"</f>
        <v>000163</v>
      </c>
      <c r="M79" s="10">
        <v>43244</v>
      </c>
      <c r="N79" s="11" t="str">
        <f>"000174"</f>
        <v>000174</v>
      </c>
      <c r="O79" s="10">
        <v>43425</v>
      </c>
      <c r="P79" s="11" t="str">
        <f>"000361"</f>
        <v>000361</v>
      </c>
      <c r="Q79" s="10">
        <v>43427</v>
      </c>
      <c r="R79" s="11">
        <v>18</v>
      </c>
      <c r="S79" s="11" t="str">
        <f>"008447"</f>
        <v>008447</v>
      </c>
      <c r="T79" s="10">
        <v>43463</v>
      </c>
      <c r="U79" s="14">
        <v>34.81662</v>
      </c>
      <c r="V79" s="14">
        <v>3.0401500000000001</v>
      </c>
      <c r="W79" s="14">
        <v>31.77647</v>
      </c>
      <c r="X79" s="11">
        <v>232</v>
      </c>
      <c r="Y79" s="10">
        <v>43385</v>
      </c>
      <c r="Z79" s="11">
        <v>9845235505</v>
      </c>
      <c r="AA79" s="12" t="s">
        <v>89</v>
      </c>
      <c r="AB79" s="11" t="s">
        <v>73</v>
      </c>
      <c r="AC79" s="12" t="s">
        <v>74</v>
      </c>
      <c r="AD79" s="11" t="s">
        <v>44</v>
      </c>
      <c r="AE79" s="12" t="s">
        <v>45</v>
      </c>
      <c r="AF79" s="14">
        <f t="shared" si="0"/>
        <v>0.34816619999999998</v>
      </c>
      <c r="AG79" s="11" t="s">
        <v>180</v>
      </c>
    </row>
    <row r="80" spans="1:33" x14ac:dyDescent="0.2">
      <c r="A80" s="8">
        <v>5979</v>
      </c>
      <c r="B80" s="9" t="s">
        <v>250</v>
      </c>
      <c r="C80" s="10">
        <v>43385</v>
      </c>
      <c r="D80" s="11">
        <v>40</v>
      </c>
      <c r="E80" s="12" t="s">
        <v>34</v>
      </c>
      <c r="F80" s="12" t="s">
        <v>35</v>
      </c>
      <c r="G80" s="12" t="s">
        <v>36</v>
      </c>
      <c r="H80" s="12" t="s">
        <v>37</v>
      </c>
      <c r="I80" s="11" t="s">
        <v>263</v>
      </c>
      <c r="J80" s="12" t="s">
        <v>264</v>
      </c>
      <c r="K80" s="13" t="s">
        <v>88</v>
      </c>
      <c r="L80" s="11" t="str">
        <f>"000155"</f>
        <v>000155</v>
      </c>
      <c r="M80" s="10">
        <v>43244</v>
      </c>
      <c r="N80" s="11" t="str">
        <f>"000170"</f>
        <v>000170</v>
      </c>
      <c r="O80" s="10">
        <v>43425</v>
      </c>
      <c r="P80" s="11" t="str">
        <f>"000357"</f>
        <v>000357</v>
      </c>
      <c r="Q80" s="10">
        <v>43426</v>
      </c>
      <c r="R80" s="11">
        <v>18</v>
      </c>
      <c r="S80" s="11" t="str">
        <f>"008445"</f>
        <v>008445</v>
      </c>
      <c r="T80" s="10">
        <v>43463</v>
      </c>
      <c r="U80" s="14">
        <v>34.461129999999997</v>
      </c>
      <c r="V80" s="14">
        <v>3.0113500000000002</v>
      </c>
      <c r="W80" s="14">
        <v>31.449780000000001</v>
      </c>
      <c r="X80" s="11">
        <v>232</v>
      </c>
      <c r="Y80" s="10">
        <v>43385</v>
      </c>
      <c r="Z80" s="11">
        <v>9845235505</v>
      </c>
      <c r="AA80" s="12" t="s">
        <v>89</v>
      </c>
      <c r="AB80" s="11" t="s">
        <v>73</v>
      </c>
      <c r="AC80" s="12" t="s">
        <v>74</v>
      </c>
      <c r="AD80" s="11" t="s">
        <v>44</v>
      </c>
      <c r="AE80" s="12" t="s">
        <v>45</v>
      </c>
      <c r="AF80" s="14">
        <f t="shared" si="0"/>
        <v>0.34461129999999995</v>
      </c>
      <c r="AG80" s="11" t="s">
        <v>180</v>
      </c>
    </row>
    <row r="81" spans="1:33" x14ac:dyDescent="0.2">
      <c r="A81" s="8">
        <v>5980</v>
      </c>
      <c r="B81" s="9" t="s">
        <v>250</v>
      </c>
      <c r="C81" s="10">
        <v>43385</v>
      </c>
      <c r="D81" s="11">
        <v>40</v>
      </c>
      <c r="E81" s="12" t="s">
        <v>34</v>
      </c>
      <c r="F81" s="12" t="s">
        <v>35</v>
      </c>
      <c r="G81" s="12" t="s">
        <v>36</v>
      </c>
      <c r="H81" s="12" t="s">
        <v>37</v>
      </c>
      <c r="I81" s="11" t="s">
        <v>265</v>
      </c>
      <c r="J81" s="12" t="s">
        <v>266</v>
      </c>
      <c r="K81" s="13" t="s">
        <v>88</v>
      </c>
      <c r="L81" s="11" t="str">
        <f>"000159"</f>
        <v>000159</v>
      </c>
      <c r="M81" s="10">
        <v>43244</v>
      </c>
      <c r="N81" s="11" t="str">
        <f>"000168"</f>
        <v>000168</v>
      </c>
      <c r="O81" s="10">
        <v>43425</v>
      </c>
      <c r="P81" s="11" t="str">
        <f>"000353"</f>
        <v>000353</v>
      </c>
      <c r="Q81" s="10">
        <v>43426</v>
      </c>
      <c r="R81" s="11">
        <v>18</v>
      </c>
      <c r="S81" s="11" t="str">
        <f>"008441"</f>
        <v>008441</v>
      </c>
      <c r="T81" s="10">
        <v>43463</v>
      </c>
      <c r="U81" s="14">
        <v>34.616489999999999</v>
      </c>
      <c r="V81" s="14">
        <v>3.02393</v>
      </c>
      <c r="W81" s="14">
        <v>31.592559999999999</v>
      </c>
      <c r="X81" s="11">
        <v>232</v>
      </c>
      <c r="Y81" s="10">
        <v>43385</v>
      </c>
      <c r="Z81" s="11">
        <v>9845235505</v>
      </c>
      <c r="AA81" s="12" t="s">
        <v>89</v>
      </c>
      <c r="AB81" s="11" t="s">
        <v>73</v>
      </c>
      <c r="AC81" s="12" t="s">
        <v>74</v>
      </c>
      <c r="AD81" s="11" t="s">
        <v>44</v>
      </c>
      <c r="AE81" s="12" t="s">
        <v>45</v>
      </c>
      <c r="AF81" s="14">
        <f t="shared" si="0"/>
        <v>0.3461649</v>
      </c>
      <c r="AG81" s="11" t="s">
        <v>180</v>
      </c>
    </row>
    <row r="82" spans="1:33" x14ac:dyDescent="0.2">
      <c r="A82" s="8">
        <v>5981</v>
      </c>
      <c r="B82" s="9" t="s">
        <v>250</v>
      </c>
      <c r="C82" s="10">
        <v>43385</v>
      </c>
      <c r="D82" s="11">
        <v>40</v>
      </c>
      <c r="E82" s="12" t="s">
        <v>34</v>
      </c>
      <c r="F82" s="12" t="s">
        <v>35</v>
      </c>
      <c r="G82" s="12" t="s">
        <v>36</v>
      </c>
      <c r="H82" s="12" t="s">
        <v>37</v>
      </c>
      <c r="I82" s="11" t="s">
        <v>267</v>
      </c>
      <c r="J82" s="12" t="s">
        <v>268</v>
      </c>
      <c r="K82" s="13" t="s">
        <v>88</v>
      </c>
      <c r="L82" s="11" t="str">
        <f>"000162"</f>
        <v>000162</v>
      </c>
      <c r="M82" s="10">
        <v>43244</v>
      </c>
      <c r="N82" s="11" t="str">
        <f>"000173"</f>
        <v>000173</v>
      </c>
      <c r="O82" s="10">
        <v>43425</v>
      </c>
      <c r="P82" s="11" t="str">
        <f>"000360"</f>
        <v>000360</v>
      </c>
      <c r="Q82" s="10">
        <v>43427</v>
      </c>
      <c r="R82" s="11">
        <v>18</v>
      </c>
      <c r="S82" s="11" t="str">
        <f>"008446"</f>
        <v>008446</v>
      </c>
      <c r="T82" s="10">
        <v>43463</v>
      </c>
      <c r="U82" s="14">
        <v>34.416829999999997</v>
      </c>
      <c r="V82" s="14">
        <v>3.0077699999999998</v>
      </c>
      <c r="W82" s="14">
        <v>31.40906</v>
      </c>
      <c r="X82" s="11">
        <v>232</v>
      </c>
      <c r="Y82" s="10">
        <v>43385</v>
      </c>
      <c r="Z82" s="11">
        <v>9845235505</v>
      </c>
      <c r="AA82" s="12" t="s">
        <v>89</v>
      </c>
      <c r="AB82" s="11" t="s">
        <v>73</v>
      </c>
      <c r="AC82" s="12" t="s">
        <v>74</v>
      </c>
      <c r="AD82" s="11" t="s">
        <v>44</v>
      </c>
      <c r="AE82" s="12" t="s">
        <v>45</v>
      </c>
      <c r="AF82" s="14">
        <f t="shared" si="0"/>
        <v>0.34416829999999998</v>
      </c>
      <c r="AG82" s="11" t="s">
        <v>180</v>
      </c>
    </row>
    <row r="83" spans="1:33" x14ac:dyDescent="0.2">
      <c r="A83" s="8">
        <v>5982</v>
      </c>
      <c r="B83" s="9" t="s">
        <v>250</v>
      </c>
      <c r="C83" s="10">
        <v>43385</v>
      </c>
      <c r="D83" s="11">
        <v>40</v>
      </c>
      <c r="E83" s="12" t="s">
        <v>34</v>
      </c>
      <c r="F83" s="12" t="s">
        <v>35</v>
      </c>
      <c r="G83" s="12" t="s">
        <v>36</v>
      </c>
      <c r="H83" s="12" t="s">
        <v>37</v>
      </c>
      <c r="I83" s="11" t="s">
        <v>269</v>
      </c>
      <c r="J83" s="12" t="s">
        <v>270</v>
      </c>
      <c r="K83" s="13" t="s">
        <v>88</v>
      </c>
      <c r="L83" s="11" t="str">
        <f>"000156"</f>
        <v>000156</v>
      </c>
      <c r="M83" s="10">
        <v>43244</v>
      </c>
      <c r="N83" s="11" t="str">
        <f>"000171"</f>
        <v>000171</v>
      </c>
      <c r="O83" s="10">
        <v>43425</v>
      </c>
      <c r="P83" s="11" t="str">
        <f>"000358"</f>
        <v>000358</v>
      </c>
      <c r="Q83" s="10">
        <v>43427</v>
      </c>
      <c r="R83" s="11">
        <v>18</v>
      </c>
      <c r="S83" s="11" t="str">
        <f>"008448"</f>
        <v>008448</v>
      </c>
      <c r="T83" s="10">
        <v>43463</v>
      </c>
      <c r="U83" s="14">
        <v>24.880009999999999</v>
      </c>
      <c r="V83" s="14">
        <v>2.1952799999999999</v>
      </c>
      <c r="W83" s="14">
        <v>22.684729999999998</v>
      </c>
      <c r="X83" s="11">
        <v>232</v>
      </c>
      <c r="Y83" s="10">
        <v>43385</v>
      </c>
      <c r="Z83" s="11">
        <v>9845235505</v>
      </c>
      <c r="AA83" s="12" t="s">
        <v>89</v>
      </c>
      <c r="AB83" s="11" t="s">
        <v>73</v>
      </c>
      <c r="AC83" s="12" t="s">
        <v>74</v>
      </c>
      <c r="AD83" s="11" t="s">
        <v>44</v>
      </c>
      <c r="AE83" s="12" t="s">
        <v>45</v>
      </c>
      <c r="AF83" s="14">
        <f t="shared" si="0"/>
        <v>0.2488001</v>
      </c>
      <c r="AG83" s="11" t="s">
        <v>180</v>
      </c>
    </row>
    <row r="84" spans="1:33" x14ac:dyDescent="0.2">
      <c r="A84" s="8">
        <v>5983</v>
      </c>
      <c r="B84" s="9" t="s">
        <v>250</v>
      </c>
      <c r="C84" s="10">
        <v>43385</v>
      </c>
      <c r="D84" s="11">
        <v>40</v>
      </c>
      <c r="E84" s="12" t="s">
        <v>34</v>
      </c>
      <c r="F84" s="12" t="s">
        <v>35</v>
      </c>
      <c r="G84" s="12" t="s">
        <v>36</v>
      </c>
      <c r="H84" s="12" t="s">
        <v>37</v>
      </c>
      <c r="I84" s="11" t="s">
        <v>271</v>
      </c>
      <c r="J84" s="12" t="s">
        <v>272</v>
      </c>
      <c r="K84" s="13" t="s">
        <v>88</v>
      </c>
      <c r="L84" s="11" t="str">
        <f>"000154"</f>
        <v>000154</v>
      </c>
      <c r="M84" s="10">
        <v>43244</v>
      </c>
      <c r="N84" s="11" t="str">
        <f>"000166"</f>
        <v>000166</v>
      </c>
      <c r="O84" s="10">
        <v>43425</v>
      </c>
      <c r="P84" s="11" t="str">
        <f>"000354"</f>
        <v>000354</v>
      </c>
      <c r="Q84" s="10">
        <v>43426</v>
      </c>
      <c r="R84" s="11">
        <v>18</v>
      </c>
      <c r="S84" s="11" t="str">
        <f>"008442"</f>
        <v>008442</v>
      </c>
      <c r="T84" s="10">
        <v>43463</v>
      </c>
      <c r="U84" s="14">
        <v>34.388660000000002</v>
      </c>
      <c r="V84" s="14">
        <v>3.0054699999999999</v>
      </c>
      <c r="W84" s="14">
        <v>31.383189999999999</v>
      </c>
      <c r="X84" s="11">
        <v>232</v>
      </c>
      <c r="Y84" s="10">
        <v>43385</v>
      </c>
      <c r="Z84" s="11">
        <v>9845235505</v>
      </c>
      <c r="AA84" s="12" t="s">
        <v>89</v>
      </c>
      <c r="AB84" s="11" t="s">
        <v>73</v>
      </c>
      <c r="AC84" s="12" t="s">
        <v>74</v>
      </c>
      <c r="AD84" s="11" t="s">
        <v>44</v>
      </c>
      <c r="AE84" s="12" t="s">
        <v>45</v>
      </c>
      <c r="AF84" s="14">
        <f t="shared" si="0"/>
        <v>0.34388660000000004</v>
      </c>
      <c r="AG84" s="11" t="s">
        <v>180</v>
      </c>
    </row>
    <row r="85" spans="1:33" x14ac:dyDescent="0.2">
      <c r="A85" s="8">
        <v>5984</v>
      </c>
      <c r="B85" s="9" t="s">
        <v>250</v>
      </c>
      <c r="C85" s="10">
        <v>43385</v>
      </c>
      <c r="D85" s="11">
        <v>40</v>
      </c>
      <c r="E85" s="12" t="s">
        <v>34</v>
      </c>
      <c r="F85" s="12" t="s">
        <v>35</v>
      </c>
      <c r="G85" s="12" t="s">
        <v>36</v>
      </c>
      <c r="H85" s="12" t="s">
        <v>37</v>
      </c>
      <c r="I85" s="11" t="s">
        <v>273</v>
      </c>
      <c r="J85" s="12" t="s">
        <v>274</v>
      </c>
      <c r="K85" s="13" t="s">
        <v>88</v>
      </c>
      <c r="L85" s="11" t="str">
        <f>"000083"</f>
        <v>000083</v>
      </c>
      <c r="M85" s="10">
        <v>42657</v>
      </c>
      <c r="N85" s="11" t="str">
        <f>"000128"</f>
        <v>000128</v>
      </c>
      <c r="O85" s="10">
        <v>43344</v>
      </c>
      <c r="P85" s="11" t="str">
        <f>"000300"</f>
        <v>000300</v>
      </c>
      <c r="Q85" s="10">
        <v>43346</v>
      </c>
      <c r="R85" s="11">
        <v>16</v>
      </c>
      <c r="S85" s="11" t="str">
        <f>"006612"</f>
        <v>006612</v>
      </c>
      <c r="T85" s="10">
        <v>43384</v>
      </c>
      <c r="U85" s="14">
        <v>26.65033</v>
      </c>
      <c r="V85" s="14">
        <v>3.7886899999999999</v>
      </c>
      <c r="W85" s="14">
        <v>22.861640000000001</v>
      </c>
      <c r="X85" s="11">
        <v>234</v>
      </c>
      <c r="Y85" s="10">
        <v>43385</v>
      </c>
      <c r="Z85" s="11">
        <v>9845235505</v>
      </c>
      <c r="AA85" s="12" t="s">
        <v>126</v>
      </c>
      <c r="AB85" s="11" t="s">
        <v>275</v>
      </c>
      <c r="AC85" s="12" t="s">
        <v>276</v>
      </c>
      <c r="AD85" s="11" t="s">
        <v>44</v>
      </c>
      <c r="AE85" s="12" t="s">
        <v>45</v>
      </c>
      <c r="AF85" s="14">
        <f t="shared" si="0"/>
        <v>0.2665033</v>
      </c>
      <c r="AG85" s="11" t="s">
        <v>92</v>
      </c>
    </row>
    <row r="86" spans="1:33" x14ac:dyDescent="0.2">
      <c r="A86" s="8">
        <v>5985</v>
      </c>
      <c r="B86" s="9" t="s">
        <v>250</v>
      </c>
      <c r="C86" s="10">
        <v>43385</v>
      </c>
      <c r="D86" s="11">
        <v>40</v>
      </c>
      <c r="E86" s="12" t="s">
        <v>34</v>
      </c>
      <c r="F86" s="12" t="s">
        <v>35</v>
      </c>
      <c r="G86" s="12" t="s">
        <v>36</v>
      </c>
      <c r="H86" s="12" t="s">
        <v>37</v>
      </c>
      <c r="I86" s="11" t="s">
        <v>277</v>
      </c>
      <c r="J86" s="12" t="s">
        <v>278</v>
      </c>
      <c r="K86" s="13" t="s">
        <v>40</v>
      </c>
      <c r="L86" s="11" t="str">
        <f>"000013"</f>
        <v>000013</v>
      </c>
      <c r="M86" s="10">
        <v>42509</v>
      </c>
      <c r="N86" s="11" t="str">
        <f>"000172"</f>
        <v>000172</v>
      </c>
      <c r="O86" s="10">
        <v>42628</v>
      </c>
      <c r="P86" s="11" t="str">
        <f>"000273"</f>
        <v>000273</v>
      </c>
      <c r="Q86" s="10">
        <v>42629</v>
      </c>
      <c r="R86" s="11">
        <v>16</v>
      </c>
      <c r="S86" s="11" t="str">
        <f>"000579"</f>
        <v>000579</v>
      </c>
      <c r="T86" s="10">
        <v>42847</v>
      </c>
      <c r="U86" s="14">
        <v>38.732500000000002</v>
      </c>
      <c r="V86" s="14">
        <v>5.38964</v>
      </c>
      <c r="W86" s="14">
        <v>33.342860000000002</v>
      </c>
      <c r="X86" s="11">
        <v>234</v>
      </c>
      <c r="Y86" s="10">
        <v>43385</v>
      </c>
      <c r="Z86" s="11">
        <v>9845235505</v>
      </c>
      <c r="AA86" s="12" t="s">
        <v>126</v>
      </c>
      <c r="AB86" s="11" t="s">
        <v>275</v>
      </c>
      <c r="AC86" s="12" t="s">
        <v>276</v>
      </c>
      <c r="AD86" s="11" t="s">
        <v>44</v>
      </c>
      <c r="AE86" s="12" t="s">
        <v>45</v>
      </c>
      <c r="AF86" s="14">
        <f t="shared" si="0"/>
        <v>0.38732500000000003</v>
      </c>
      <c r="AG86" s="11" t="s">
        <v>46</v>
      </c>
    </row>
    <row r="87" spans="1:33" x14ac:dyDescent="0.2">
      <c r="A87" s="8">
        <v>5986</v>
      </c>
      <c r="B87" s="9" t="s">
        <v>250</v>
      </c>
      <c r="C87" s="10">
        <v>43385</v>
      </c>
      <c r="D87" s="11">
        <v>40</v>
      </c>
      <c r="E87" s="12" t="s">
        <v>34</v>
      </c>
      <c r="F87" s="12" t="s">
        <v>35</v>
      </c>
      <c r="G87" s="12" t="s">
        <v>36</v>
      </c>
      <c r="H87" s="12" t="s">
        <v>37</v>
      </c>
      <c r="I87" s="11" t="s">
        <v>70</v>
      </c>
      <c r="J87" s="12" t="s">
        <v>71</v>
      </c>
      <c r="K87" s="13" t="s">
        <v>40</v>
      </c>
      <c r="L87" s="11" t="str">
        <f>"000072"</f>
        <v>000072</v>
      </c>
      <c r="M87" s="10">
        <v>42602</v>
      </c>
      <c r="N87" s="11" t="str">
        <f>"000222"</f>
        <v>000222</v>
      </c>
      <c r="O87" s="10">
        <v>42768</v>
      </c>
      <c r="P87" s="11" t="str">
        <f>"000436"</f>
        <v>000436</v>
      </c>
      <c r="Q87" s="10">
        <v>42772</v>
      </c>
      <c r="R87" s="11">
        <v>17</v>
      </c>
      <c r="S87" s="11" t="str">
        <f>"008137"</f>
        <v>008137</v>
      </c>
      <c r="T87" s="10">
        <v>42804</v>
      </c>
      <c r="U87" s="14">
        <v>354.09208000000001</v>
      </c>
      <c r="V87" s="14">
        <v>10.39893</v>
      </c>
      <c r="W87" s="14">
        <v>343.69315</v>
      </c>
      <c r="X87" s="11">
        <v>234</v>
      </c>
      <c r="Y87" s="10">
        <v>43385</v>
      </c>
      <c r="Z87" s="11">
        <v>9448450661</v>
      </c>
      <c r="AA87" s="12" t="s">
        <v>72</v>
      </c>
      <c r="AB87" s="11" t="s">
        <v>73</v>
      </c>
      <c r="AC87" s="12" t="s">
        <v>74</v>
      </c>
      <c r="AD87" s="11" t="s">
        <v>44</v>
      </c>
      <c r="AE87" s="12" t="s">
        <v>45</v>
      </c>
      <c r="AF87" s="14">
        <f t="shared" si="0"/>
        <v>3.5409208000000003</v>
      </c>
      <c r="AG87" s="11" t="s">
        <v>46</v>
      </c>
    </row>
    <row r="88" spans="1:33" x14ac:dyDescent="0.2">
      <c r="A88" s="8">
        <v>6517</v>
      </c>
      <c r="B88" s="9" t="s">
        <v>250</v>
      </c>
      <c r="C88" s="10">
        <v>43389</v>
      </c>
      <c r="D88" s="11">
        <v>40</v>
      </c>
      <c r="E88" s="12" t="s">
        <v>34</v>
      </c>
      <c r="F88" s="12" t="s">
        <v>35</v>
      </c>
      <c r="G88" s="12" t="s">
        <v>36</v>
      </c>
      <c r="H88" s="12" t="s">
        <v>37</v>
      </c>
      <c r="I88" s="11" t="s">
        <v>279</v>
      </c>
      <c r="J88" s="12" t="s">
        <v>280</v>
      </c>
      <c r="K88" s="13" t="s">
        <v>149</v>
      </c>
      <c r="L88" s="11" t="str">
        <f>"000026"</f>
        <v>000026</v>
      </c>
      <c r="M88" s="10">
        <v>43004</v>
      </c>
      <c r="N88" s="11" t="str">
        <f>"000087"</f>
        <v>000087</v>
      </c>
      <c r="O88" s="10">
        <v>43117</v>
      </c>
      <c r="P88" s="11" t="str">
        <f>"000336"</f>
        <v>000336</v>
      </c>
      <c r="Q88" s="10">
        <v>43117</v>
      </c>
      <c r="R88" s="11">
        <v>18</v>
      </c>
      <c r="S88" s="11" t="str">
        <f>"006442"</f>
        <v>006442</v>
      </c>
      <c r="T88" s="10">
        <v>43382</v>
      </c>
      <c r="U88" s="14">
        <v>49.542459999999998</v>
      </c>
      <c r="V88" s="14">
        <v>5.0037700000000003</v>
      </c>
      <c r="W88" s="14">
        <v>44.538690000000003</v>
      </c>
      <c r="X88" s="11">
        <v>241</v>
      </c>
      <c r="Y88" s="10">
        <v>43389</v>
      </c>
      <c r="Z88" s="11">
        <v>9845235505</v>
      </c>
      <c r="AA88" s="12" t="s">
        <v>135</v>
      </c>
      <c r="AB88" s="11" t="s">
        <v>281</v>
      </c>
      <c r="AC88" s="12" t="s">
        <v>282</v>
      </c>
      <c r="AD88" s="11" t="s">
        <v>44</v>
      </c>
      <c r="AE88" s="12" t="s">
        <v>45</v>
      </c>
      <c r="AF88" s="14">
        <f t="shared" si="0"/>
        <v>0.49542459999999999</v>
      </c>
      <c r="AG88" s="11" t="s">
        <v>46</v>
      </c>
    </row>
    <row r="89" spans="1:33" x14ac:dyDescent="0.2">
      <c r="A89" s="8">
        <v>7491</v>
      </c>
      <c r="B89" s="9" t="s">
        <v>283</v>
      </c>
      <c r="C89" s="10">
        <v>43437</v>
      </c>
      <c r="D89" s="11">
        <v>40</v>
      </c>
      <c r="E89" s="12" t="s">
        <v>34</v>
      </c>
      <c r="F89" s="12" t="s">
        <v>35</v>
      </c>
      <c r="G89" s="12" t="s">
        <v>36</v>
      </c>
      <c r="H89" s="12" t="s">
        <v>37</v>
      </c>
      <c r="I89" s="11" t="s">
        <v>284</v>
      </c>
      <c r="J89" s="12" t="s">
        <v>285</v>
      </c>
      <c r="K89" s="13" t="s">
        <v>122</v>
      </c>
      <c r="L89" s="11" t="str">
        <f>"000113"</f>
        <v>000113</v>
      </c>
      <c r="M89" s="10">
        <v>43080</v>
      </c>
      <c r="N89" s="11" t="str">
        <f>"000100"</f>
        <v>000100</v>
      </c>
      <c r="O89" s="10">
        <v>43178</v>
      </c>
      <c r="P89" s="11" t="str">
        <f>"000424"</f>
        <v>000424</v>
      </c>
      <c r="Q89" s="10">
        <v>43179</v>
      </c>
      <c r="R89" s="11">
        <v>18</v>
      </c>
      <c r="S89" s="11" t="str">
        <f>"007631"</f>
        <v>007631</v>
      </c>
      <c r="T89" s="10">
        <v>43432</v>
      </c>
      <c r="U89" s="14">
        <v>109.77625</v>
      </c>
      <c r="V89" s="14">
        <v>6.6963699999999999</v>
      </c>
      <c r="W89" s="14">
        <v>103.07988</v>
      </c>
      <c r="X89" s="11">
        <v>280</v>
      </c>
      <c r="Y89" s="10">
        <v>43437</v>
      </c>
      <c r="Z89" s="11">
        <v>9886073963</v>
      </c>
      <c r="AA89" s="12" t="s">
        <v>286</v>
      </c>
      <c r="AB89" s="11" t="s">
        <v>281</v>
      </c>
      <c r="AC89" s="12" t="s">
        <v>282</v>
      </c>
      <c r="AD89" s="11" t="s">
        <v>44</v>
      </c>
      <c r="AE89" s="12" t="s">
        <v>45</v>
      </c>
      <c r="AF89" s="14">
        <f t="shared" si="0"/>
        <v>1.0977625</v>
      </c>
      <c r="AG89" s="11" t="s">
        <v>46</v>
      </c>
    </row>
    <row r="90" spans="1:33" x14ac:dyDescent="0.2">
      <c r="A90" s="8">
        <v>7492</v>
      </c>
      <c r="B90" s="9" t="s">
        <v>283</v>
      </c>
      <c r="C90" s="10">
        <v>43437</v>
      </c>
      <c r="D90" s="11">
        <v>40</v>
      </c>
      <c r="E90" s="12" t="s">
        <v>34</v>
      </c>
      <c r="F90" s="12" t="s">
        <v>35</v>
      </c>
      <c r="G90" s="12" t="s">
        <v>36</v>
      </c>
      <c r="H90" s="12" t="s">
        <v>37</v>
      </c>
      <c r="I90" s="11" t="s">
        <v>287</v>
      </c>
      <c r="J90" s="12" t="s">
        <v>288</v>
      </c>
      <c r="K90" s="13" t="s">
        <v>122</v>
      </c>
      <c r="L90" s="11" t="str">
        <f>"000114"</f>
        <v>000114</v>
      </c>
      <c r="M90" s="10">
        <v>43080</v>
      </c>
      <c r="N90" s="11" t="str">
        <f>"000099"</f>
        <v>000099</v>
      </c>
      <c r="O90" s="10">
        <v>43178</v>
      </c>
      <c r="P90" s="11" t="str">
        <f>"000428"</f>
        <v>000428</v>
      </c>
      <c r="Q90" s="10">
        <v>43179</v>
      </c>
      <c r="R90" s="11">
        <v>18</v>
      </c>
      <c r="S90" s="11" t="str">
        <f>"007635"</f>
        <v>007635</v>
      </c>
      <c r="T90" s="10">
        <v>43432</v>
      </c>
      <c r="U90" s="14">
        <v>109.77943999999999</v>
      </c>
      <c r="V90" s="14">
        <v>6.6965399999999997</v>
      </c>
      <c r="W90" s="14">
        <v>103.0829</v>
      </c>
      <c r="X90" s="11">
        <v>280</v>
      </c>
      <c r="Y90" s="10">
        <v>43437</v>
      </c>
      <c r="Z90" s="11">
        <v>9886073963</v>
      </c>
      <c r="AA90" s="12" t="s">
        <v>286</v>
      </c>
      <c r="AB90" s="11" t="s">
        <v>289</v>
      </c>
      <c r="AC90" s="12" t="s">
        <v>290</v>
      </c>
      <c r="AD90" s="11" t="s">
        <v>44</v>
      </c>
      <c r="AE90" s="12" t="s">
        <v>45</v>
      </c>
      <c r="AF90" s="14">
        <f t="shared" si="0"/>
        <v>1.0977943999999999</v>
      </c>
      <c r="AG90" s="11" t="s">
        <v>46</v>
      </c>
    </row>
    <row r="91" spans="1:33" x14ac:dyDescent="0.2">
      <c r="A91" s="8">
        <v>7900</v>
      </c>
      <c r="B91" s="9" t="s">
        <v>283</v>
      </c>
      <c r="C91" s="10">
        <v>43454</v>
      </c>
      <c r="D91" s="11">
        <v>40</v>
      </c>
      <c r="E91" s="12" t="s">
        <v>34</v>
      </c>
      <c r="F91" s="12" t="s">
        <v>35</v>
      </c>
      <c r="G91" s="12" t="s">
        <v>36</v>
      </c>
      <c r="H91" s="12" t="s">
        <v>37</v>
      </c>
      <c r="I91" s="11" t="s">
        <v>291</v>
      </c>
      <c r="J91" s="12" t="s">
        <v>292</v>
      </c>
      <c r="K91" s="15" t="s">
        <v>122</v>
      </c>
      <c r="L91" s="11" t="str">
        <f>"000185"</f>
        <v>000185</v>
      </c>
      <c r="M91" s="10">
        <v>43116</v>
      </c>
      <c r="N91" s="11" t="str">
        <f>"000111"</f>
        <v>000111</v>
      </c>
      <c r="O91" s="10">
        <v>43180</v>
      </c>
      <c r="P91" s="11" t="str">
        <f>"000435"</f>
        <v>000435</v>
      </c>
      <c r="Q91" s="10">
        <v>43187</v>
      </c>
      <c r="R91" s="11">
        <v>18</v>
      </c>
      <c r="S91" s="11" t="str">
        <f>"007992"</f>
        <v>007992</v>
      </c>
      <c r="T91" s="10">
        <v>43448</v>
      </c>
      <c r="U91" s="14">
        <v>103.23477</v>
      </c>
      <c r="V91" s="14">
        <v>3.2002899999999999</v>
      </c>
      <c r="W91" s="14">
        <v>100.03448</v>
      </c>
      <c r="X91" s="11">
        <v>298</v>
      </c>
      <c r="Y91" s="10">
        <v>43454</v>
      </c>
      <c r="Z91" s="11">
        <v>9448709328</v>
      </c>
      <c r="AA91" s="12" t="s">
        <v>293</v>
      </c>
      <c r="AB91" s="11" t="s">
        <v>281</v>
      </c>
      <c r="AC91" s="12" t="s">
        <v>282</v>
      </c>
      <c r="AD91" s="11" t="s">
        <v>44</v>
      </c>
      <c r="AE91" s="12" t="s">
        <v>45</v>
      </c>
      <c r="AF91" s="14">
        <f t="shared" si="0"/>
        <v>1.0323476999999999</v>
      </c>
      <c r="AG91" s="11" t="s">
        <v>46</v>
      </c>
    </row>
    <row r="92" spans="1:33" x14ac:dyDescent="0.2">
      <c r="A92" s="8">
        <v>8287</v>
      </c>
      <c r="B92" s="9" t="s">
        <v>294</v>
      </c>
      <c r="C92" s="10">
        <v>43466</v>
      </c>
      <c r="D92" s="11">
        <v>40</v>
      </c>
      <c r="E92" s="12" t="s">
        <v>34</v>
      </c>
      <c r="F92" s="12" t="s">
        <v>35</v>
      </c>
      <c r="G92" s="12" t="s">
        <v>36</v>
      </c>
      <c r="H92" s="12" t="s">
        <v>37</v>
      </c>
      <c r="I92" s="11" t="s">
        <v>259</v>
      </c>
      <c r="J92" s="12" t="s">
        <v>260</v>
      </c>
      <c r="K92" s="13" t="s">
        <v>88</v>
      </c>
      <c r="L92" s="11" t="str">
        <f>"000158"</f>
        <v>000158</v>
      </c>
      <c r="M92" s="10">
        <v>43244</v>
      </c>
      <c r="N92" s="11" t="str">
        <f>"000169"</f>
        <v>000169</v>
      </c>
      <c r="O92" s="10">
        <v>43425</v>
      </c>
      <c r="P92" s="11" t="str">
        <f>"000352"</f>
        <v>000352</v>
      </c>
      <c r="Q92" s="10">
        <v>43426</v>
      </c>
      <c r="R92" s="11"/>
      <c r="S92" s="11" t="str">
        <f>"008440"</f>
        <v>008440</v>
      </c>
      <c r="T92" s="10">
        <v>43463</v>
      </c>
      <c r="U92" s="14">
        <v>14.38566</v>
      </c>
      <c r="V92" s="14">
        <v>1.5641499999999999</v>
      </c>
      <c r="W92" s="14">
        <v>12.82151</v>
      </c>
      <c r="X92" s="11">
        <v>309</v>
      </c>
      <c r="Y92" s="10">
        <v>43466</v>
      </c>
      <c r="Z92" s="11">
        <v>9845235505</v>
      </c>
      <c r="AA92" s="12" t="s">
        <v>89</v>
      </c>
      <c r="AB92" s="11" t="s">
        <v>73</v>
      </c>
      <c r="AC92" s="12" t="s">
        <v>74</v>
      </c>
      <c r="AD92" s="11" t="s">
        <v>44</v>
      </c>
      <c r="AE92" s="12" t="s">
        <v>45</v>
      </c>
      <c r="AF92" s="14">
        <f t="shared" si="0"/>
        <v>0.1438566</v>
      </c>
      <c r="AG92" s="11" t="s">
        <v>180</v>
      </c>
    </row>
    <row r="93" spans="1:33" x14ac:dyDescent="0.2">
      <c r="A93" s="8">
        <v>8288</v>
      </c>
      <c r="B93" s="9" t="s">
        <v>294</v>
      </c>
      <c r="C93" s="10">
        <v>43466</v>
      </c>
      <c r="D93" s="11">
        <v>40</v>
      </c>
      <c r="E93" s="12" t="s">
        <v>34</v>
      </c>
      <c r="F93" s="12" t="s">
        <v>35</v>
      </c>
      <c r="G93" s="12" t="s">
        <v>36</v>
      </c>
      <c r="H93" s="12" t="s">
        <v>37</v>
      </c>
      <c r="I93" s="11" t="s">
        <v>265</v>
      </c>
      <c r="J93" s="12" t="s">
        <v>266</v>
      </c>
      <c r="K93" s="13" t="s">
        <v>88</v>
      </c>
      <c r="L93" s="11" t="str">
        <f>"000159"</f>
        <v>000159</v>
      </c>
      <c r="M93" s="10">
        <v>43244</v>
      </c>
      <c r="N93" s="11" t="str">
        <f>"000168"</f>
        <v>000168</v>
      </c>
      <c r="O93" s="10">
        <v>43425</v>
      </c>
      <c r="P93" s="11" t="str">
        <f>"000353"</f>
        <v>000353</v>
      </c>
      <c r="Q93" s="10">
        <v>43426</v>
      </c>
      <c r="R93" s="11"/>
      <c r="S93" s="11" t="str">
        <f>"008441"</f>
        <v>008441</v>
      </c>
      <c r="T93" s="10">
        <v>43463</v>
      </c>
      <c r="U93" s="14">
        <v>14.48183</v>
      </c>
      <c r="V93" s="14">
        <v>1.57331</v>
      </c>
      <c r="W93" s="14">
        <v>12.908519999999999</v>
      </c>
      <c r="X93" s="11">
        <v>309</v>
      </c>
      <c r="Y93" s="10">
        <v>43466</v>
      </c>
      <c r="Z93" s="11">
        <v>9845235505</v>
      </c>
      <c r="AA93" s="12" t="s">
        <v>89</v>
      </c>
      <c r="AB93" s="11" t="s">
        <v>73</v>
      </c>
      <c r="AC93" s="12" t="s">
        <v>74</v>
      </c>
      <c r="AD93" s="11" t="s">
        <v>44</v>
      </c>
      <c r="AE93" s="12" t="s">
        <v>45</v>
      </c>
      <c r="AF93" s="14">
        <f t="shared" si="0"/>
        <v>0.14481830000000001</v>
      </c>
      <c r="AG93" s="11" t="s">
        <v>180</v>
      </c>
    </row>
    <row r="94" spans="1:33" x14ac:dyDescent="0.2">
      <c r="A94" s="8">
        <v>8289</v>
      </c>
      <c r="B94" s="9" t="s">
        <v>294</v>
      </c>
      <c r="C94" s="10">
        <v>43466</v>
      </c>
      <c r="D94" s="11">
        <v>40</v>
      </c>
      <c r="E94" s="12" t="s">
        <v>34</v>
      </c>
      <c r="F94" s="12" t="s">
        <v>35</v>
      </c>
      <c r="G94" s="12" t="s">
        <v>36</v>
      </c>
      <c r="H94" s="12" t="s">
        <v>37</v>
      </c>
      <c r="I94" s="11" t="s">
        <v>271</v>
      </c>
      <c r="J94" s="12" t="s">
        <v>272</v>
      </c>
      <c r="K94" s="13" t="s">
        <v>88</v>
      </c>
      <c r="L94" s="11" t="str">
        <f>"000154"</f>
        <v>000154</v>
      </c>
      <c r="M94" s="10">
        <v>43244</v>
      </c>
      <c r="N94" s="11" t="str">
        <f>"000166"</f>
        <v>000166</v>
      </c>
      <c r="O94" s="10">
        <v>43425</v>
      </c>
      <c r="P94" s="11" t="str">
        <f>"000354"</f>
        <v>000354</v>
      </c>
      <c r="Q94" s="10">
        <v>43426</v>
      </c>
      <c r="R94" s="11"/>
      <c r="S94" s="11" t="str">
        <f>"008442"</f>
        <v>008442</v>
      </c>
      <c r="T94" s="10">
        <v>43463</v>
      </c>
      <c r="U94" s="14">
        <v>14.70227</v>
      </c>
      <c r="V94" s="14">
        <v>1.5991200000000001</v>
      </c>
      <c r="W94" s="14">
        <v>13.103149999999999</v>
      </c>
      <c r="X94" s="11">
        <v>309</v>
      </c>
      <c r="Y94" s="10">
        <v>43466</v>
      </c>
      <c r="Z94" s="11">
        <v>9845235505</v>
      </c>
      <c r="AA94" s="12" t="s">
        <v>89</v>
      </c>
      <c r="AB94" s="11" t="s">
        <v>73</v>
      </c>
      <c r="AC94" s="12" t="s">
        <v>74</v>
      </c>
      <c r="AD94" s="11" t="s">
        <v>44</v>
      </c>
      <c r="AE94" s="12" t="s">
        <v>45</v>
      </c>
      <c r="AF94" s="14">
        <f t="shared" si="0"/>
        <v>0.14702270000000001</v>
      </c>
      <c r="AG94" s="11" t="s">
        <v>180</v>
      </c>
    </row>
    <row r="95" spans="1:33" x14ac:dyDescent="0.2">
      <c r="A95" s="8">
        <v>8290</v>
      </c>
      <c r="B95" s="9" t="s">
        <v>294</v>
      </c>
      <c r="C95" s="10">
        <v>43466</v>
      </c>
      <c r="D95" s="11">
        <v>40</v>
      </c>
      <c r="E95" s="12" t="s">
        <v>34</v>
      </c>
      <c r="F95" s="12" t="s">
        <v>35</v>
      </c>
      <c r="G95" s="12" t="s">
        <v>36</v>
      </c>
      <c r="H95" s="12" t="s">
        <v>37</v>
      </c>
      <c r="I95" s="11" t="s">
        <v>253</v>
      </c>
      <c r="J95" s="12" t="s">
        <v>254</v>
      </c>
      <c r="K95" s="13" t="s">
        <v>88</v>
      </c>
      <c r="L95" s="11" t="str">
        <f>"000161"</f>
        <v>000161</v>
      </c>
      <c r="M95" s="10">
        <v>43244</v>
      </c>
      <c r="N95" s="11" t="str">
        <f>"000167"</f>
        <v>000167</v>
      </c>
      <c r="O95" s="10">
        <v>43425</v>
      </c>
      <c r="P95" s="11" t="str">
        <f>"000355"</f>
        <v>000355</v>
      </c>
      <c r="Q95" s="10">
        <v>43426</v>
      </c>
      <c r="R95" s="11"/>
      <c r="S95" s="11" t="str">
        <f>"008443"</f>
        <v>008443</v>
      </c>
      <c r="T95" s="10">
        <v>43463</v>
      </c>
      <c r="U95" s="14">
        <v>14.78973</v>
      </c>
      <c r="V95" s="14">
        <v>1.6035699999999999</v>
      </c>
      <c r="W95" s="14">
        <v>13.186159999999999</v>
      </c>
      <c r="X95" s="11">
        <v>309</v>
      </c>
      <c r="Y95" s="10">
        <v>43466</v>
      </c>
      <c r="Z95" s="11">
        <v>9845235505</v>
      </c>
      <c r="AA95" s="12" t="s">
        <v>89</v>
      </c>
      <c r="AB95" s="11" t="s">
        <v>73</v>
      </c>
      <c r="AC95" s="12" t="s">
        <v>74</v>
      </c>
      <c r="AD95" s="11" t="s">
        <v>44</v>
      </c>
      <c r="AE95" s="12" t="s">
        <v>45</v>
      </c>
      <c r="AF95" s="14">
        <f t="shared" si="0"/>
        <v>0.14789730000000001</v>
      </c>
      <c r="AG95" s="11" t="s">
        <v>180</v>
      </c>
    </row>
    <row r="96" spans="1:33" x14ac:dyDescent="0.2">
      <c r="A96" s="8">
        <v>8291</v>
      </c>
      <c r="B96" s="9" t="s">
        <v>294</v>
      </c>
      <c r="C96" s="10">
        <v>43466</v>
      </c>
      <c r="D96" s="11">
        <v>40</v>
      </c>
      <c r="E96" s="12" t="s">
        <v>34</v>
      </c>
      <c r="F96" s="12" t="s">
        <v>35</v>
      </c>
      <c r="G96" s="12" t="s">
        <v>36</v>
      </c>
      <c r="H96" s="12" t="s">
        <v>37</v>
      </c>
      <c r="I96" s="11" t="s">
        <v>255</v>
      </c>
      <c r="J96" s="12" t="s">
        <v>256</v>
      </c>
      <c r="K96" s="13" t="s">
        <v>88</v>
      </c>
      <c r="L96" s="11" t="str">
        <f>"000160"</f>
        <v>000160</v>
      </c>
      <c r="M96" s="10">
        <v>43244</v>
      </c>
      <c r="N96" s="11" t="str">
        <f>"000165"</f>
        <v>000165</v>
      </c>
      <c r="O96" s="10">
        <v>43425</v>
      </c>
      <c r="P96" s="11" t="str">
        <f>"000356"</f>
        <v>000356</v>
      </c>
      <c r="Q96" s="10">
        <v>43426</v>
      </c>
      <c r="R96" s="11"/>
      <c r="S96" s="11" t="str">
        <f>"008444"</f>
        <v>008444</v>
      </c>
      <c r="T96" s="10">
        <v>43463</v>
      </c>
      <c r="U96" s="14">
        <v>14.45256</v>
      </c>
      <c r="V96" s="14">
        <v>1.5702199999999999</v>
      </c>
      <c r="W96" s="14">
        <v>12.882339999999999</v>
      </c>
      <c r="X96" s="11">
        <v>309</v>
      </c>
      <c r="Y96" s="10">
        <v>43466</v>
      </c>
      <c r="Z96" s="11">
        <v>9845235505</v>
      </c>
      <c r="AA96" s="12" t="s">
        <v>89</v>
      </c>
      <c r="AB96" s="11" t="s">
        <v>73</v>
      </c>
      <c r="AC96" s="12" t="s">
        <v>74</v>
      </c>
      <c r="AD96" s="11" t="s">
        <v>44</v>
      </c>
      <c r="AE96" s="12" t="s">
        <v>45</v>
      </c>
      <c r="AF96" s="14">
        <f t="shared" si="0"/>
        <v>0.1445256</v>
      </c>
      <c r="AG96" s="11" t="s">
        <v>180</v>
      </c>
    </row>
    <row r="97" spans="1:33" x14ac:dyDescent="0.2">
      <c r="A97" s="8">
        <v>8292</v>
      </c>
      <c r="B97" s="9" t="s">
        <v>294</v>
      </c>
      <c r="C97" s="10">
        <v>43466</v>
      </c>
      <c r="D97" s="11">
        <v>40</v>
      </c>
      <c r="E97" s="12" t="s">
        <v>34</v>
      </c>
      <c r="F97" s="12" t="s">
        <v>35</v>
      </c>
      <c r="G97" s="12" t="s">
        <v>36</v>
      </c>
      <c r="H97" s="12" t="s">
        <v>37</v>
      </c>
      <c r="I97" s="11" t="s">
        <v>263</v>
      </c>
      <c r="J97" s="12" t="s">
        <v>264</v>
      </c>
      <c r="K97" s="13" t="s">
        <v>88</v>
      </c>
      <c r="L97" s="11" t="str">
        <f>"000155"</f>
        <v>000155</v>
      </c>
      <c r="M97" s="10">
        <v>43244</v>
      </c>
      <c r="N97" s="11" t="str">
        <f>"000170"</f>
        <v>000170</v>
      </c>
      <c r="O97" s="10">
        <v>43425</v>
      </c>
      <c r="P97" s="11" t="str">
        <f>"000357"</f>
        <v>000357</v>
      </c>
      <c r="Q97" s="10">
        <v>43426</v>
      </c>
      <c r="R97" s="11"/>
      <c r="S97" s="11" t="str">
        <f>"008445"</f>
        <v>008445</v>
      </c>
      <c r="T97" s="10">
        <v>43463</v>
      </c>
      <c r="U97" s="14">
        <v>14.635199999999999</v>
      </c>
      <c r="V97" s="14">
        <v>1.5917300000000001</v>
      </c>
      <c r="W97" s="14">
        <v>13.043469999999999</v>
      </c>
      <c r="X97" s="11">
        <v>309</v>
      </c>
      <c r="Y97" s="10">
        <v>43466</v>
      </c>
      <c r="Z97" s="11">
        <v>9845235505</v>
      </c>
      <c r="AA97" s="12" t="s">
        <v>89</v>
      </c>
      <c r="AB97" s="11" t="s">
        <v>73</v>
      </c>
      <c r="AC97" s="12" t="s">
        <v>74</v>
      </c>
      <c r="AD97" s="11" t="s">
        <v>44</v>
      </c>
      <c r="AE97" s="12" t="s">
        <v>45</v>
      </c>
      <c r="AF97" s="14">
        <f t="shared" si="0"/>
        <v>0.14635199999999998</v>
      </c>
      <c r="AG97" s="11" t="s">
        <v>180</v>
      </c>
    </row>
    <row r="98" spans="1:33" x14ac:dyDescent="0.2">
      <c r="A98" s="8">
        <v>8293</v>
      </c>
      <c r="B98" s="9" t="s">
        <v>294</v>
      </c>
      <c r="C98" s="10">
        <v>43466</v>
      </c>
      <c r="D98" s="11">
        <v>40</v>
      </c>
      <c r="E98" s="12" t="s">
        <v>34</v>
      </c>
      <c r="F98" s="12" t="s">
        <v>35</v>
      </c>
      <c r="G98" s="12" t="s">
        <v>36</v>
      </c>
      <c r="H98" s="12" t="s">
        <v>37</v>
      </c>
      <c r="I98" s="11" t="s">
        <v>267</v>
      </c>
      <c r="J98" s="12" t="s">
        <v>268</v>
      </c>
      <c r="K98" s="13" t="s">
        <v>88</v>
      </c>
      <c r="L98" s="11" t="str">
        <f>"000162"</f>
        <v>000162</v>
      </c>
      <c r="M98" s="10">
        <v>43244</v>
      </c>
      <c r="N98" s="11" t="str">
        <f>"000173"</f>
        <v>000173</v>
      </c>
      <c r="O98" s="10">
        <v>43425</v>
      </c>
      <c r="P98" s="11" t="str">
        <f>"000360"</f>
        <v>000360</v>
      </c>
      <c r="Q98" s="10">
        <v>43427</v>
      </c>
      <c r="R98" s="11"/>
      <c r="S98" s="11" t="str">
        <f>"008446"</f>
        <v>008446</v>
      </c>
      <c r="T98" s="10">
        <v>43463</v>
      </c>
      <c r="U98" s="14">
        <v>14.678890000000001</v>
      </c>
      <c r="V98" s="14">
        <v>1.5962099999999999</v>
      </c>
      <c r="W98" s="14">
        <v>13.08268</v>
      </c>
      <c r="X98" s="11">
        <v>309</v>
      </c>
      <c r="Y98" s="10">
        <v>43466</v>
      </c>
      <c r="Z98" s="11">
        <v>9845235505</v>
      </c>
      <c r="AA98" s="12" t="s">
        <v>89</v>
      </c>
      <c r="AB98" s="11" t="s">
        <v>73</v>
      </c>
      <c r="AC98" s="12" t="s">
        <v>74</v>
      </c>
      <c r="AD98" s="11" t="s">
        <v>44</v>
      </c>
      <c r="AE98" s="12" t="s">
        <v>45</v>
      </c>
      <c r="AF98" s="14">
        <f t="shared" si="0"/>
        <v>0.1467889</v>
      </c>
      <c r="AG98" s="11" t="s">
        <v>180</v>
      </c>
    </row>
    <row r="99" spans="1:33" x14ac:dyDescent="0.2">
      <c r="A99" s="8">
        <v>8294</v>
      </c>
      <c r="B99" s="9" t="s">
        <v>294</v>
      </c>
      <c r="C99" s="10">
        <v>43466</v>
      </c>
      <c r="D99" s="11">
        <v>40</v>
      </c>
      <c r="E99" s="12" t="s">
        <v>34</v>
      </c>
      <c r="F99" s="12" t="s">
        <v>35</v>
      </c>
      <c r="G99" s="12" t="s">
        <v>36</v>
      </c>
      <c r="H99" s="12" t="s">
        <v>37</v>
      </c>
      <c r="I99" s="11" t="s">
        <v>261</v>
      </c>
      <c r="J99" s="12" t="s">
        <v>262</v>
      </c>
      <c r="K99" s="13" t="s">
        <v>88</v>
      </c>
      <c r="L99" s="11" t="str">
        <f>"000163"</f>
        <v>000163</v>
      </c>
      <c r="M99" s="10">
        <v>43244</v>
      </c>
      <c r="N99" s="11" t="str">
        <f>"000174"</f>
        <v>000174</v>
      </c>
      <c r="O99" s="10">
        <v>43425</v>
      </c>
      <c r="P99" s="11" t="str">
        <f>"000361"</f>
        <v>000361</v>
      </c>
      <c r="Q99" s="10">
        <v>43427</v>
      </c>
      <c r="R99" s="11"/>
      <c r="S99" s="11" t="str">
        <f>"008447"</f>
        <v>008447</v>
      </c>
      <c r="T99" s="10">
        <v>43463</v>
      </c>
      <c r="U99" s="14">
        <v>14.28285</v>
      </c>
      <c r="V99" s="14">
        <v>1.55145</v>
      </c>
      <c r="W99" s="14">
        <v>12.731400000000001</v>
      </c>
      <c r="X99" s="11">
        <v>309</v>
      </c>
      <c r="Y99" s="10">
        <v>43466</v>
      </c>
      <c r="Z99" s="11">
        <v>9845235505</v>
      </c>
      <c r="AA99" s="12" t="s">
        <v>89</v>
      </c>
      <c r="AB99" s="11" t="s">
        <v>73</v>
      </c>
      <c r="AC99" s="12" t="s">
        <v>74</v>
      </c>
      <c r="AD99" s="11" t="s">
        <v>44</v>
      </c>
      <c r="AE99" s="12" t="s">
        <v>45</v>
      </c>
      <c r="AF99" s="14">
        <f t="shared" si="0"/>
        <v>0.1428285</v>
      </c>
      <c r="AG99" s="11" t="s">
        <v>180</v>
      </c>
    </row>
    <row r="100" spans="1:33" x14ac:dyDescent="0.2">
      <c r="A100" s="8">
        <v>8295</v>
      </c>
      <c r="B100" s="9" t="s">
        <v>294</v>
      </c>
      <c r="C100" s="10">
        <v>43466</v>
      </c>
      <c r="D100" s="11">
        <v>40</v>
      </c>
      <c r="E100" s="12" t="s">
        <v>34</v>
      </c>
      <c r="F100" s="12" t="s">
        <v>35</v>
      </c>
      <c r="G100" s="12" t="s">
        <v>36</v>
      </c>
      <c r="H100" s="12" t="s">
        <v>37</v>
      </c>
      <c r="I100" s="11" t="s">
        <v>269</v>
      </c>
      <c r="J100" s="12" t="s">
        <v>270</v>
      </c>
      <c r="K100" s="13" t="s">
        <v>88</v>
      </c>
      <c r="L100" s="11" t="str">
        <f>"000156"</f>
        <v>000156</v>
      </c>
      <c r="M100" s="10">
        <v>43244</v>
      </c>
      <c r="N100" s="11" t="str">
        <f>"000171"</f>
        <v>000171</v>
      </c>
      <c r="O100" s="10">
        <v>43425</v>
      </c>
      <c r="P100" s="11" t="str">
        <f>"000358"</f>
        <v>000358</v>
      </c>
      <c r="Q100" s="10">
        <v>43427</v>
      </c>
      <c r="R100" s="11"/>
      <c r="S100" s="11" t="str">
        <f>"008448"</f>
        <v>008448</v>
      </c>
      <c r="T100" s="10">
        <v>43463</v>
      </c>
      <c r="U100" s="14">
        <v>24.090489999999999</v>
      </c>
      <c r="V100" s="14">
        <v>2.6214</v>
      </c>
      <c r="W100" s="14">
        <v>21.469090000000001</v>
      </c>
      <c r="X100" s="11">
        <v>309</v>
      </c>
      <c r="Y100" s="10">
        <v>43466</v>
      </c>
      <c r="Z100" s="11">
        <v>9845235505</v>
      </c>
      <c r="AA100" s="12" t="s">
        <v>89</v>
      </c>
      <c r="AB100" s="11" t="s">
        <v>73</v>
      </c>
      <c r="AC100" s="12" t="s">
        <v>74</v>
      </c>
      <c r="AD100" s="11" t="s">
        <v>44</v>
      </c>
      <c r="AE100" s="12" t="s">
        <v>45</v>
      </c>
      <c r="AF100" s="14">
        <f t="shared" si="0"/>
        <v>0.24090489999999998</v>
      </c>
      <c r="AG100" s="11" t="s">
        <v>180</v>
      </c>
    </row>
    <row r="101" spans="1:33" x14ac:dyDescent="0.2">
      <c r="A101" s="8">
        <v>8296</v>
      </c>
      <c r="B101" s="9" t="s">
        <v>294</v>
      </c>
      <c r="C101" s="10">
        <v>43466</v>
      </c>
      <c r="D101" s="11">
        <v>40</v>
      </c>
      <c r="E101" s="12" t="s">
        <v>34</v>
      </c>
      <c r="F101" s="12" t="s">
        <v>35</v>
      </c>
      <c r="G101" s="12" t="s">
        <v>36</v>
      </c>
      <c r="H101" s="12" t="s">
        <v>37</v>
      </c>
      <c r="I101" s="11" t="s">
        <v>257</v>
      </c>
      <c r="J101" s="12" t="s">
        <v>258</v>
      </c>
      <c r="K101" s="13" t="s">
        <v>88</v>
      </c>
      <c r="L101" s="11" t="str">
        <f>"000157"</f>
        <v>000157</v>
      </c>
      <c r="M101" s="10">
        <v>43244</v>
      </c>
      <c r="N101" s="11" t="str">
        <f>"000172"</f>
        <v>000172</v>
      </c>
      <c r="O101" s="10">
        <v>43425</v>
      </c>
      <c r="P101" s="11" t="str">
        <f>"000359"</f>
        <v>000359</v>
      </c>
      <c r="Q101" s="10">
        <v>43427</v>
      </c>
      <c r="R101" s="11"/>
      <c r="S101" s="11" t="str">
        <f>"008449"</f>
        <v>008449</v>
      </c>
      <c r="T101" s="10">
        <v>43463</v>
      </c>
      <c r="U101" s="14">
        <v>25.185870000000001</v>
      </c>
      <c r="V101" s="14">
        <v>2.73882</v>
      </c>
      <c r="W101" s="14">
        <v>22.447050000000001</v>
      </c>
      <c r="X101" s="11">
        <v>309</v>
      </c>
      <c r="Y101" s="10">
        <v>43466</v>
      </c>
      <c r="Z101" s="11">
        <v>9845235505</v>
      </c>
      <c r="AA101" s="12" t="s">
        <v>89</v>
      </c>
      <c r="AB101" s="11" t="s">
        <v>73</v>
      </c>
      <c r="AC101" s="12" t="s">
        <v>74</v>
      </c>
      <c r="AD101" s="11" t="s">
        <v>44</v>
      </c>
      <c r="AE101" s="12" t="s">
        <v>45</v>
      </c>
      <c r="AF101" s="14">
        <f t="shared" si="0"/>
        <v>0.25185869999999999</v>
      </c>
      <c r="AG101" s="11" t="s">
        <v>180</v>
      </c>
    </row>
    <row r="102" spans="1:33" x14ac:dyDescent="0.2">
      <c r="A102" s="8">
        <v>8311</v>
      </c>
      <c r="B102" s="9" t="s">
        <v>294</v>
      </c>
      <c r="C102" s="10">
        <v>43467</v>
      </c>
      <c r="D102" s="11">
        <v>40</v>
      </c>
      <c r="E102" s="12" t="s">
        <v>34</v>
      </c>
      <c r="F102" s="12" t="s">
        <v>35</v>
      </c>
      <c r="G102" s="12" t="s">
        <v>36</v>
      </c>
      <c r="H102" s="12" t="s">
        <v>37</v>
      </c>
      <c r="I102" s="11" t="s">
        <v>295</v>
      </c>
      <c r="J102" s="12" t="s">
        <v>296</v>
      </c>
      <c r="K102" s="13" t="s">
        <v>149</v>
      </c>
      <c r="L102" s="11" t="str">
        <f>"000024"</f>
        <v>000024</v>
      </c>
      <c r="M102" s="10">
        <v>43004</v>
      </c>
      <c r="N102" s="11" t="str">
        <f>"000028"</f>
        <v>000028</v>
      </c>
      <c r="O102" s="10">
        <v>43213</v>
      </c>
      <c r="P102" s="11" t="str">
        <f>"000078"</f>
        <v>000078</v>
      </c>
      <c r="Q102" s="10">
        <v>43213</v>
      </c>
      <c r="R102" s="11"/>
      <c r="S102" s="11" t="str">
        <f>"008179"</f>
        <v>008179</v>
      </c>
      <c r="T102" s="10">
        <v>43455</v>
      </c>
      <c r="U102" s="14">
        <v>49.922460000000001</v>
      </c>
      <c r="V102" s="14">
        <v>4.0437099999999999</v>
      </c>
      <c r="W102" s="14">
        <v>45.878749999999997</v>
      </c>
      <c r="X102" s="11">
        <v>310</v>
      </c>
      <c r="Y102" s="10">
        <v>43467</v>
      </c>
      <c r="Z102" s="11">
        <v>9845235505</v>
      </c>
      <c r="AA102" s="12" t="s">
        <v>135</v>
      </c>
      <c r="AB102" s="11" t="s">
        <v>281</v>
      </c>
      <c r="AC102" s="12" t="s">
        <v>282</v>
      </c>
      <c r="AD102" s="11" t="s">
        <v>44</v>
      </c>
      <c r="AE102" s="12" t="s">
        <v>45</v>
      </c>
      <c r="AF102" s="14">
        <f t="shared" si="0"/>
        <v>0.49922460000000002</v>
      </c>
      <c r="AG102" s="11" t="s">
        <v>92</v>
      </c>
    </row>
    <row r="103" spans="1:33" x14ac:dyDescent="0.2">
      <c r="A103" s="8">
        <v>8528</v>
      </c>
      <c r="B103" s="9" t="s">
        <v>294</v>
      </c>
      <c r="C103" s="10">
        <v>43475</v>
      </c>
      <c r="D103" s="11">
        <v>40</v>
      </c>
      <c r="E103" s="12" t="s">
        <v>34</v>
      </c>
      <c r="F103" s="12" t="s">
        <v>35</v>
      </c>
      <c r="G103" s="12" t="s">
        <v>36</v>
      </c>
      <c r="H103" s="12" t="s">
        <v>37</v>
      </c>
      <c r="I103" s="11" t="s">
        <v>297</v>
      </c>
      <c r="J103" s="12" t="s">
        <v>298</v>
      </c>
      <c r="K103" s="13" t="s">
        <v>122</v>
      </c>
      <c r="L103" s="11" t="str">
        <f>"000032"</f>
        <v>000032</v>
      </c>
      <c r="M103" s="10">
        <v>43005</v>
      </c>
      <c r="N103" s="11" t="str">
        <f>"000069"</f>
        <v>000069</v>
      </c>
      <c r="O103" s="10">
        <v>43075</v>
      </c>
      <c r="P103" s="11" t="str">
        <f>"000249"</f>
        <v>000249</v>
      </c>
      <c r="Q103" s="10">
        <v>43080</v>
      </c>
      <c r="R103" s="11"/>
      <c r="S103" s="11" t="str">
        <f>"008152"</f>
        <v>008152</v>
      </c>
      <c r="T103" s="10">
        <v>43455</v>
      </c>
      <c r="U103" s="14">
        <v>98.898330000000001</v>
      </c>
      <c r="V103" s="14">
        <v>8.9897600000000004</v>
      </c>
      <c r="W103" s="14">
        <v>89.908569999999997</v>
      </c>
      <c r="X103" s="11">
        <v>320</v>
      </c>
      <c r="Y103" s="10">
        <v>43475</v>
      </c>
      <c r="Z103" s="11">
        <v>9845235505</v>
      </c>
      <c r="AA103" s="12" t="s">
        <v>135</v>
      </c>
      <c r="AB103" s="11" t="s">
        <v>73</v>
      </c>
      <c r="AC103" s="12" t="s">
        <v>74</v>
      </c>
      <c r="AD103" s="11" t="s">
        <v>44</v>
      </c>
      <c r="AE103" s="12" t="s">
        <v>45</v>
      </c>
      <c r="AF103" s="14">
        <f t="shared" si="0"/>
        <v>0.98898330000000001</v>
      </c>
      <c r="AG103" s="11" t="s">
        <v>46</v>
      </c>
    </row>
    <row r="104" spans="1:33" x14ac:dyDescent="0.2">
      <c r="A104" s="8">
        <v>8529</v>
      </c>
      <c r="B104" s="9" t="s">
        <v>294</v>
      </c>
      <c r="C104" s="10">
        <v>43475</v>
      </c>
      <c r="D104" s="11">
        <v>40</v>
      </c>
      <c r="E104" s="12" t="s">
        <v>34</v>
      </c>
      <c r="F104" s="12" t="s">
        <v>35</v>
      </c>
      <c r="G104" s="12" t="s">
        <v>36</v>
      </c>
      <c r="H104" s="12" t="s">
        <v>37</v>
      </c>
      <c r="I104" s="11" t="s">
        <v>299</v>
      </c>
      <c r="J104" s="12" t="s">
        <v>300</v>
      </c>
      <c r="K104" s="13" t="s">
        <v>122</v>
      </c>
      <c r="L104" s="11" t="str">
        <f>"000028"</f>
        <v>000028</v>
      </c>
      <c r="M104" s="10">
        <v>43005</v>
      </c>
      <c r="N104" s="11" t="str">
        <f>"000067"</f>
        <v>000067</v>
      </c>
      <c r="O104" s="10">
        <v>43075</v>
      </c>
      <c r="P104" s="11" t="str">
        <f>"000250"</f>
        <v>000250</v>
      </c>
      <c r="Q104" s="10">
        <v>43080</v>
      </c>
      <c r="R104" s="11"/>
      <c r="S104" s="11" t="str">
        <f>"008153"</f>
        <v>008153</v>
      </c>
      <c r="T104" s="10">
        <v>43455</v>
      </c>
      <c r="U104" s="14">
        <v>98.972070000000002</v>
      </c>
      <c r="V104" s="14">
        <v>8.9952299999999994</v>
      </c>
      <c r="W104" s="14">
        <v>89.976839999999996</v>
      </c>
      <c r="X104" s="11">
        <v>320</v>
      </c>
      <c r="Y104" s="10">
        <v>43475</v>
      </c>
      <c r="Z104" s="11">
        <v>9845235505</v>
      </c>
      <c r="AA104" s="12" t="s">
        <v>135</v>
      </c>
      <c r="AB104" s="11" t="s">
        <v>73</v>
      </c>
      <c r="AC104" s="12" t="s">
        <v>74</v>
      </c>
      <c r="AD104" s="11" t="s">
        <v>44</v>
      </c>
      <c r="AE104" s="12" t="s">
        <v>45</v>
      </c>
      <c r="AF104" s="14">
        <f t="shared" si="0"/>
        <v>0.98972070000000001</v>
      </c>
      <c r="AG104" s="11" t="s">
        <v>46</v>
      </c>
    </row>
    <row r="105" spans="1:33" x14ac:dyDescent="0.2">
      <c r="A105" s="8">
        <v>8530</v>
      </c>
      <c r="B105" s="9" t="s">
        <v>294</v>
      </c>
      <c r="C105" s="10">
        <v>43475</v>
      </c>
      <c r="D105" s="11">
        <v>40</v>
      </c>
      <c r="E105" s="12" t="s">
        <v>34</v>
      </c>
      <c r="F105" s="12" t="s">
        <v>35</v>
      </c>
      <c r="G105" s="12" t="s">
        <v>36</v>
      </c>
      <c r="H105" s="12" t="s">
        <v>37</v>
      </c>
      <c r="I105" s="11" t="s">
        <v>301</v>
      </c>
      <c r="J105" s="12" t="s">
        <v>302</v>
      </c>
      <c r="K105" s="13" t="s">
        <v>122</v>
      </c>
      <c r="L105" s="11" t="str">
        <f>"000029"</f>
        <v>000029</v>
      </c>
      <c r="M105" s="10">
        <v>43005</v>
      </c>
      <c r="N105" s="11" t="str">
        <f>"000068"</f>
        <v>000068</v>
      </c>
      <c r="O105" s="10">
        <v>43075</v>
      </c>
      <c r="P105" s="11" t="str">
        <f>"000251"</f>
        <v>000251</v>
      </c>
      <c r="Q105" s="10">
        <v>43080</v>
      </c>
      <c r="R105" s="11"/>
      <c r="S105" s="11" t="str">
        <f>"008154"</f>
        <v>008154</v>
      </c>
      <c r="T105" s="10">
        <v>43455</v>
      </c>
      <c r="U105" s="14">
        <v>98.988659999999996</v>
      </c>
      <c r="V105" s="14">
        <v>8.9880600000000008</v>
      </c>
      <c r="W105" s="14">
        <v>90.000600000000006</v>
      </c>
      <c r="X105" s="11">
        <v>320</v>
      </c>
      <c r="Y105" s="10">
        <v>43475</v>
      </c>
      <c r="Z105" s="11">
        <v>9845235505</v>
      </c>
      <c r="AA105" s="12" t="s">
        <v>135</v>
      </c>
      <c r="AB105" s="11" t="s">
        <v>73</v>
      </c>
      <c r="AC105" s="12" t="s">
        <v>74</v>
      </c>
      <c r="AD105" s="11" t="s">
        <v>44</v>
      </c>
      <c r="AE105" s="12" t="s">
        <v>45</v>
      </c>
      <c r="AF105" s="14">
        <f t="shared" si="0"/>
        <v>0.98988659999999995</v>
      </c>
      <c r="AG105" s="11" t="s">
        <v>46</v>
      </c>
    </row>
    <row r="106" spans="1:33" x14ac:dyDescent="0.2">
      <c r="A106" s="8">
        <v>8531</v>
      </c>
      <c r="B106" s="9" t="s">
        <v>294</v>
      </c>
      <c r="C106" s="10">
        <v>43475</v>
      </c>
      <c r="D106" s="11">
        <v>40</v>
      </c>
      <c r="E106" s="12" t="s">
        <v>34</v>
      </c>
      <c r="F106" s="12" t="s">
        <v>35</v>
      </c>
      <c r="G106" s="12" t="s">
        <v>36</v>
      </c>
      <c r="H106" s="12" t="s">
        <v>37</v>
      </c>
      <c r="I106" s="11" t="s">
        <v>303</v>
      </c>
      <c r="J106" s="12" t="s">
        <v>304</v>
      </c>
      <c r="K106" s="13" t="s">
        <v>122</v>
      </c>
      <c r="L106" s="11" t="str">
        <f>"000031"</f>
        <v>000031</v>
      </c>
      <c r="M106" s="10">
        <v>43005</v>
      </c>
      <c r="N106" s="11" t="str">
        <f>"000065"</f>
        <v>000065</v>
      </c>
      <c r="O106" s="10">
        <v>43075</v>
      </c>
      <c r="P106" s="11" t="str">
        <f>"000252"</f>
        <v>000252</v>
      </c>
      <c r="Q106" s="10">
        <v>43080</v>
      </c>
      <c r="R106" s="11"/>
      <c r="S106" s="11" t="str">
        <f>"008155"</f>
        <v>008155</v>
      </c>
      <c r="T106" s="10">
        <v>43455</v>
      </c>
      <c r="U106" s="14">
        <v>98.878969999999995</v>
      </c>
      <c r="V106" s="14">
        <v>8.9841899999999999</v>
      </c>
      <c r="W106" s="14">
        <v>89.894779999999997</v>
      </c>
      <c r="X106" s="11">
        <v>320</v>
      </c>
      <c r="Y106" s="10">
        <v>43475</v>
      </c>
      <c r="Z106" s="11">
        <v>9845235505</v>
      </c>
      <c r="AA106" s="12" t="s">
        <v>135</v>
      </c>
      <c r="AB106" s="11" t="s">
        <v>73</v>
      </c>
      <c r="AC106" s="12" t="s">
        <v>74</v>
      </c>
      <c r="AD106" s="11" t="s">
        <v>44</v>
      </c>
      <c r="AE106" s="12" t="s">
        <v>45</v>
      </c>
      <c r="AF106" s="14">
        <f t="shared" si="0"/>
        <v>0.98878969999999999</v>
      </c>
      <c r="AG106" s="11" t="s">
        <v>46</v>
      </c>
    </row>
    <row r="107" spans="1:33" x14ac:dyDescent="0.2">
      <c r="A107" s="8">
        <v>8532</v>
      </c>
      <c r="B107" s="9" t="s">
        <v>294</v>
      </c>
      <c r="C107" s="10">
        <v>43475</v>
      </c>
      <c r="D107" s="11">
        <v>40</v>
      </c>
      <c r="E107" s="12" t="s">
        <v>34</v>
      </c>
      <c r="F107" s="12" t="s">
        <v>35</v>
      </c>
      <c r="G107" s="12" t="s">
        <v>36</v>
      </c>
      <c r="H107" s="12" t="s">
        <v>37</v>
      </c>
      <c r="I107" s="11" t="s">
        <v>305</v>
      </c>
      <c r="J107" s="12" t="s">
        <v>306</v>
      </c>
      <c r="K107" s="13" t="s">
        <v>122</v>
      </c>
      <c r="L107" s="11" t="str">
        <f>"000030"</f>
        <v>000030</v>
      </c>
      <c r="M107" s="10">
        <v>43005</v>
      </c>
      <c r="N107" s="11" t="str">
        <f>"000066"</f>
        <v>000066</v>
      </c>
      <c r="O107" s="10">
        <v>43075</v>
      </c>
      <c r="P107" s="11" t="str">
        <f>"000253"</f>
        <v>000253</v>
      </c>
      <c r="Q107" s="10">
        <v>43080</v>
      </c>
      <c r="R107" s="11"/>
      <c r="S107" s="11" t="str">
        <f>"008156"</f>
        <v>008156</v>
      </c>
      <c r="T107" s="10">
        <v>43455</v>
      </c>
      <c r="U107" s="14">
        <v>98.889290000000003</v>
      </c>
      <c r="V107" s="14">
        <v>8.9890100000000004</v>
      </c>
      <c r="W107" s="14">
        <v>89.900279999999995</v>
      </c>
      <c r="X107" s="11">
        <v>320</v>
      </c>
      <c r="Y107" s="10">
        <v>43475</v>
      </c>
      <c r="Z107" s="11">
        <v>9845235505</v>
      </c>
      <c r="AA107" s="12" t="s">
        <v>135</v>
      </c>
      <c r="AB107" s="11" t="s">
        <v>73</v>
      </c>
      <c r="AC107" s="12" t="s">
        <v>74</v>
      </c>
      <c r="AD107" s="11" t="s">
        <v>44</v>
      </c>
      <c r="AE107" s="12" t="s">
        <v>45</v>
      </c>
      <c r="AF107" s="14">
        <f t="shared" si="0"/>
        <v>0.98889290000000007</v>
      </c>
      <c r="AG107" s="11" t="s">
        <v>46</v>
      </c>
    </row>
    <row r="108" spans="1:33" x14ac:dyDescent="0.2">
      <c r="A108" s="8">
        <v>8598</v>
      </c>
      <c r="B108" s="9" t="s">
        <v>294</v>
      </c>
      <c r="C108" s="10">
        <v>43481</v>
      </c>
      <c r="D108" s="11">
        <v>40</v>
      </c>
      <c r="E108" s="12" t="s">
        <v>34</v>
      </c>
      <c r="F108" s="12" t="s">
        <v>35</v>
      </c>
      <c r="G108" s="12" t="s">
        <v>36</v>
      </c>
      <c r="H108" s="12" t="s">
        <v>37</v>
      </c>
      <c r="I108" s="11" t="s">
        <v>307</v>
      </c>
      <c r="J108" s="12" t="s">
        <v>308</v>
      </c>
      <c r="K108" s="13" t="s">
        <v>309</v>
      </c>
      <c r="L108" s="11" t="str">
        <f>"000002"</f>
        <v>000002</v>
      </c>
      <c r="M108" s="10">
        <v>43319</v>
      </c>
      <c r="N108" s="11" t="str">
        <f>"000022"</f>
        <v>000022</v>
      </c>
      <c r="O108" s="10">
        <v>43448</v>
      </c>
      <c r="P108" s="11" t="str">
        <f>"000214"</f>
        <v>000214</v>
      </c>
      <c r="Q108" s="10">
        <v>43449</v>
      </c>
      <c r="R108" s="11"/>
      <c r="S108" s="11" t="str">
        <f>"008710"</f>
        <v>008710</v>
      </c>
      <c r="T108" s="10">
        <v>43477</v>
      </c>
      <c r="U108" s="14">
        <v>68.950980000000001</v>
      </c>
      <c r="V108" s="14">
        <v>7.0932599999999999</v>
      </c>
      <c r="W108" s="14">
        <v>61.85772</v>
      </c>
      <c r="X108" s="11">
        <v>324</v>
      </c>
      <c r="Y108" s="10">
        <v>43481</v>
      </c>
      <c r="Z108" s="11">
        <v>8888888888</v>
      </c>
      <c r="AA108" s="12" t="s">
        <v>310</v>
      </c>
      <c r="AB108" s="11" t="s">
        <v>140</v>
      </c>
      <c r="AC108" s="12" t="s">
        <v>141</v>
      </c>
      <c r="AD108" s="11" t="s">
        <v>53</v>
      </c>
      <c r="AE108" s="12" t="s">
        <v>54</v>
      </c>
      <c r="AF108" s="14">
        <f t="shared" si="0"/>
        <v>0.68950980000000006</v>
      </c>
      <c r="AG108" s="11" t="s">
        <v>180</v>
      </c>
    </row>
    <row r="109" spans="1:33" x14ac:dyDescent="0.2">
      <c r="A109" s="8">
        <v>8686</v>
      </c>
      <c r="B109" s="9" t="s">
        <v>294</v>
      </c>
      <c r="C109" s="10">
        <v>43484</v>
      </c>
      <c r="D109" s="11">
        <v>40</v>
      </c>
      <c r="E109" s="12" t="s">
        <v>34</v>
      </c>
      <c r="F109" s="12" t="s">
        <v>35</v>
      </c>
      <c r="G109" s="12" t="s">
        <v>36</v>
      </c>
      <c r="H109" s="12" t="s">
        <v>37</v>
      </c>
      <c r="I109" s="11" t="s">
        <v>70</v>
      </c>
      <c r="J109" s="12" t="s">
        <v>71</v>
      </c>
      <c r="K109" s="13" t="s">
        <v>40</v>
      </c>
      <c r="L109" s="11" t="str">
        <f>"000072"</f>
        <v>000072</v>
      </c>
      <c r="M109" s="10">
        <v>42602</v>
      </c>
      <c r="N109" s="11" t="str">
        <f>"000222"</f>
        <v>000222</v>
      </c>
      <c r="O109" s="10">
        <v>42768</v>
      </c>
      <c r="P109" s="11" t="str">
        <f>"000436"</f>
        <v>000436</v>
      </c>
      <c r="Q109" s="10">
        <v>42772</v>
      </c>
      <c r="R109" s="11"/>
      <c r="S109" s="11" t="str">
        <f>"008137"</f>
        <v>008137</v>
      </c>
      <c r="T109" s="10">
        <v>42804</v>
      </c>
      <c r="U109" s="14">
        <v>287.28217000000001</v>
      </c>
      <c r="V109" s="14">
        <v>13.599959999999999</v>
      </c>
      <c r="W109" s="14">
        <v>273.68221</v>
      </c>
      <c r="X109" s="11">
        <v>329</v>
      </c>
      <c r="Y109" s="10">
        <v>43484</v>
      </c>
      <c r="Z109" s="11">
        <v>9448450661</v>
      </c>
      <c r="AA109" s="12" t="s">
        <v>72</v>
      </c>
      <c r="AB109" s="11" t="s">
        <v>73</v>
      </c>
      <c r="AC109" s="12" t="s">
        <v>74</v>
      </c>
      <c r="AD109" s="11" t="s">
        <v>44</v>
      </c>
      <c r="AE109" s="12" t="s">
        <v>45</v>
      </c>
      <c r="AF109" s="14">
        <f t="shared" si="0"/>
        <v>2.8728217000000003</v>
      </c>
      <c r="AG109" s="11" t="s">
        <v>46</v>
      </c>
    </row>
    <row r="110" spans="1:33" x14ac:dyDescent="0.2">
      <c r="A110" s="8">
        <v>9090</v>
      </c>
      <c r="B110" s="9" t="s">
        <v>311</v>
      </c>
      <c r="C110" s="10">
        <v>43507</v>
      </c>
      <c r="D110" s="11">
        <v>40</v>
      </c>
      <c r="E110" s="12" t="s">
        <v>34</v>
      </c>
      <c r="F110" s="12" t="s">
        <v>35</v>
      </c>
      <c r="G110" s="12" t="s">
        <v>36</v>
      </c>
      <c r="H110" s="12" t="s">
        <v>37</v>
      </c>
      <c r="I110" s="11" t="s">
        <v>312</v>
      </c>
      <c r="J110" s="12" t="s">
        <v>313</v>
      </c>
      <c r="K110" s="13" t="s">
        <v>40</v>
      </c>
      <c r="L110" s="11" t="str">
        <f>"000064"</f>
        <v>000064</v>
      </c>
      <c r="M110" s="10">
        <v>43060</v>
      </c>
      <c r="N110" s="11" t="str">
        <f>"000056"</f>
        <v>000056</v>
      </c>
      <c r="O110" s="10">
        <v>43060</v>
      </c>
      <c r="P110" s="11" t="str">
        <f>"000266"</f>
        <v>000266</v>
      </c>
      <c r="Q110" s="10">
        <v>43089</v>
      </c>
      <c r="R110" s="11"/>
      <c r="S110" s="11" t="str">
        <f>"009003"</f>
        <v>009003</v>
      </c>
      <c r="T110" s="10">
        <v>43490</v>
      </c>
      <c r="U110" s="14">
        <v>14.96754</v>
      </c>
      <c r="V110" s="14">
        <v>1.3620699999999999</v>
      </c>
      <c r="W110" s="14">
        <v>13.60547</v>
      </c>
      <c r="X110" s="11">
        <v>347</v>
      </c>
      <c r="Y110" s="10">
        <v>43507</v>
      </c>
      <c r="Z110" s="11">
        <v>8123903250</v>
      </c>
      <c r="AA110" s="12" t="s">
        <v>314</v>
      </c>
      <c r="AB110" s="11" t="s">
        <v>42</v>
      </c>
      <c r="AC110" s="12" t="s">
        <v>43</v>
      </c>
      <c r="AD110" s="11" t="s">
        <v>44</v>
      </c>
      <c r="AE110" s="12" t="s">
        <v>45</v>
      </c>
      <c r="AF110" s="14">
        <f t="shared" si="0"/>
        <v>0.14967539999999999</v>
      </c>
      <c r="AG110" s="11" t="s">
        <v>46</v>
      </c>
    </row>
    <row r="111" spans="1:33" x14ac:dyDescent="0.2">
      <c r="A111" s="8">
        <v>9094</v>
      </c>
      <c r="B111" s="9" t="s">
        <v>311</v>
      </c>
      <c r="C111" s="10">
        <v>43507</v>
      </c>
      <c r="D111" s="11">
        <v>40</v>
      </c>
      <c r="E111" s="12" t="s">
        <v>34</v>
      </c>
      <c r="F111" s="12" t="s">
        <v>35</v>
      </c>
      <c r="G111" s="12" t="s">
        <v>36</v>
      </c>
      <c r="H111" s="12" t="s">
        <v>37</v>
      </c>
      <c r="I111" s="11" t="s">
        <v>315</v>
      </c>
      <c r="J111" s="12" t="s">
        <v>316</v>
      </c>
      <c r="K111" s="13" t="s">
        <v>122</v>
      </c>
      <c r="L111" s="11" t="str">
        <f>"000318"</f>
        <v>000318</v>
      </c>
      <c r="M111" s="10">
        <v>42826</v>
      </c>
      <c r="N111" s="11" t="str">
        <f>"000047"</f>
        <v>000047</v>
      </c>
      <c r="O111" s="10">
        <v>43043</v>
      </c>
      <c r="P111" s="11" t="str">
        <f>"000201"</f>
        <v>000201</v>
      </c>
      <c r="Q111" s="10">
        <v>43045</v>
      </c>
      <c r="R111" s="11"/>
      <c r="S111" s="11" t="str">
        <f>"009009"</f>
        <v>009009</v>
      </c>
      <c r="T111" s="10">
        <v>43490</v>
      </c>
      <c r="U111" s="14">
        <v>24.99823</v>
      </c>
      <c r="V111" s="14">
        <v>2.5533299999999999</v>
      </c>
      <c r="W111" s="14">
        <v>22.444900000000001</v>
      </c>
      <c r="X111" s="11">
        <v>347</v>
      </c>
      <c r="Y111" s="10">
        <v>43507</v>
      </c>
      <c r="Z111" s="11">
        <v>9485235505</v>
      </c>
      <c r="AA111" s="12" t="s">
        <v>317</v>
      </c>
      <c r="AB111" s="11" t="s">
        <v>42</v>
      </c>
      <c r="AC111" s="12" t="s">
        <v>43</v>
      </c>
      <c r="AD111" s="11" t="s">
        <v>44</v>
      </c>
      <c r="AE111" s="12" t="s">
        <v>45</v>
      </c>
      <c r="AF111" s="14">
        <f t="shared" si="0"/>
        <v>0.24998229999999999</v>
      </c>
      <c r="AG111" s="11" t="s">
        <v>46</v>
      </c>
    </row>
    <row r="112" spans="1:33" x14ac:dyDescent="0.2">
      <c r="A112" s="8">
        <v>9281</v>
      </c>
      <c r="B112" s="9" t="s">
        <v>311</v>
      </c>
      <c r="C112" s="10">
        <v>43521</v>
      </c>
      <c r="D112" s="11">
        <v>40</v>
      </c>
      <c r="E112" s="12" t="s">
        <v>34</v>
      </c>
      <c r="F112" s="12" t="s">
        <v>35</v>
      </c>
      <c r="G112" s="12" t="s">
        <v>36</v>
      </c>
      <c r="H112" s="12" t="s">
        <v>37</v>
      </c>
      <c r="I112" s="11" t="s">
        <v>318</v>
      </c>
      <c r="J112" s="12" t="s">
        <v>319</v>
      </c>
      <c r="K112" s="13" t="s">
        <v>113</v>
      </c>
      <c r="L112" s="11" t="str">
        <f>"000323"</f>
        <v>000323</v>
      </c>
      <c r="M112" s="10">
        <v>43060</v>
      </c>
      <c r="N112" s="11" t="str">
        <f>"000084"</f>
        <v>000084</v>
      </c>
      <c r="O112" s="10">
        <v>43099</v>
      </c>
      <c r="P112" s="11" t="str">
        <f>"000326"</f>
        <v>000326</v>
      </c>
      <c r="Q112" s="10">
        <v>43110</v>
      </c>
      <c r="R112" s="11"/>
      <c r="S112" s="11" t="str">
        <f>"009315"</f>
        <v>009315</v>
      </c>
      <c r="T112" s="10">
        <v>43517</v>
      </c>
      <c r="U112" s="14">
        <v>14.98504</v>
      </c>
      <c r="V112" s="14">
        <v>1.51349</v>
      </c>
      <c r="W112" s="14">
        <v>13.471550000000001</v>
      </c>
      <c r="X112" s="11">
        <v>358</v>
      </c>
      <c r="Y112" s="10">
        <v>43521</v>
      </c>
      <c r="Z112" s="11">
        <v>9845235058</v>
      </c>
      <c r="AA112" s="12" t="s">
        <v>320</v>
      </c>
      <c r="AB112" s="11" t="s">
        <v>42</v>
      </c>
      <c r="AC112" s="12" t="s">
        <v>43</v>
      </c>
      <c r="AD112" s="11" t="s">
        <v>44</v>
      </c>
      <c r="AE112" s="12" t="s">
        <v>45</v>
      </c>
      <c r="AF112" s="14">
        <f t="shared" si="0"/>
        <v>0.14985039999999999</v>
      </c>
      <c r="AG112" s="11" t="s">
        <v>46</v>
      </c>
    </row>
    <row r="113" spans="1:33" x14ac:dyDescent="0.2">
      <c r="A113" s="8">
        <v>9283</v>
      </c>
      <c r="B113" s="9" t="s">
        <v>311</v>
      </c>
      <c r="C113" s="10">
        <v>43521</v>
      </c>
      <c r="D113" s="11">
        <v>40</v>
      </c>
      <c r="E113" s="12" t="s">
        <v>34</v>
      </c>
      <c r="F113" s="12" t="s">
        <v>35</v>
      </c>
      <c r="G113" s="12" t="s">
        <v>36</v>
      </c>
      <c r="H113" s="12" t="s">
        <v>37</v>
      </c>
      <c r="I113" s="11" t="s">
        <v>321</v>
      </c>
      <c r="J113" s="12" t="s">
        <v>322</v>
      </c>
      <c r="K113" s="13" t="s">
        <v>40</v>
      </c>
      <c r="L113" s="11" t="str">
        <f>"000066"</f>
        <v>000066</v>
      </c>
      <c r="M113" s="10">
        <v>43060</v>
      </c>
      <c r="N113" s="11" t="str">
        <f>"000055"</f>
        <v>000055</v>
      </c>
      <c r="O113" s="10">
        <v>43060</v>
      </c>
      <c r="P113" s="11" t="str">
        <f>"000328"</f>
        <v>000328</v>
      </c>
      <c r="Q113" s="10">
        <v>43110</v>
      </c>
      <c r="R113" s="11"/>
      <c r="S113" s="11" t="str">
        <f>"009317"</f>
        <v>009317</v>
      </c>
      <c r="T113" s="10">
        <v>43517</v>
      </c>
      <c r="U113" s="14">
        <v>9.9778400000000005</v>
      </c>
      <c r="V113" s="14">
        <v>1.0077700000000001</v>
      </c>
      <c r="W113" s="14">
        <v>8.9700699999999998</v>
      </c>
      <c r="X113" s="11">
        <v>358</v>
      </c>
      <c r="Y113" s="10">
        <v>43521</v>
      </c>
      <c r="Z113" s="11">
        <v>8904904737</v>
      </c>
      <c r="AA113" s="12" t="s">
        <v>126</v>
      </c>
      <c r="AB113" s="11" t="s">
        <v>42</v>
      </c>
      <c r="AC113" s="12" t="s">
        <v>43</v>
      </c>
      <c r="AD113" s="11" t="s">
        <v>44</v>
      </c>
      <c r="AE113" s="12" t="s">
        <v>45</v>
      </c>
      <c r="AF113" s="14">
        <f t="shared" si="0"/>
        <v>9.9778400000000003E-2</v>
      </c>
      <c r="AG113" s="11" t="s">
        <v>46</v>
      </c>
    </row>
    <row r="114" spans="1:33" x14ac:dyDescent="0.2">
      <c r="A114" s="8">
        <v>9407</v>
      </c>
      <c r="B114" s="9" t="s">
        <v>311</v>
      </c>
      <c r="C114" s="10">
        <v>43524</v>
      </c>
      <c r="D114" s="11">
        <v>40</v>
      </c>
      <c r="E114" s="12" t="s">
        <v>34</v>
      </c>
      <c r="F114" s="12" t="s">
        <v>35</v>
      </c>
      <c r="G114" s="12" t="s">
        <v>36</v>
      </c>
      <c r="H114" s="12" t="s">
        <v>37</v>
      </c>
      <c r="I114" s="11" t="s">
        <v>307</v>
      </c>
      <c r="J114" s="12" t="s">
        <v>308</v>
      </c>
      <c r="K114" s="13" t="s">
        <v>309</v>
      </c>
      <c r="L114" s="11" t="str">
        <f>"000002"</f>
        <v>000002</v>
      </c>
      <c r="M114" s="10">
        <v>43319</v>
      </c>
      <c r="N114" s="11" t="str">
        <f>"000022"</f>
        <v>000022</v>
      </c>
      <c r="O114" s="10">
        <v>43448</v>
      </c>
      <c r="P114" s="11" t="str">
        <f>"000214"</f>
        <v>000214</v>
      </c>
      <c r="Q114" s="10">
        <v>43449</v>
      </c>
      <c r="R114" s="11"/>
      <c r="S114" s="11" t="str">
        <f>"008710"</f>
        <v>008710</v>
      </c>
      <c r="T114" s="10">
        <v>43477</v>
      </c>
      <c r="U114" s="14">
        <v>0.97</v>
      </c>
      <c r="V114" s="14">
        <v>9.7000000000000003E-2</v>
      </c>
      <c r="W114" s="14">
        <v>0.873</v>
      </c>
      <c r="X114" s="11">
        <v>362</v>
      </c>
      <c r="Y114" s="10">
        <v>43524</v>
      </c>
      <c r="Z114" s="11">
        <v>9980055499</v>
      </c>
      <c r="AA114" s="12" t="s">
        <v>323</v>
      </c>
      <c r="AB114" s="11" t="s">
        <v>140</v>
      </c>
      <c r="AC114" s="12" t="s">
        <v>141</v>
      </c>
      <c r="AD114" s="11" t="s">
        <v>53</v>
      </c>
      <c r="AE114" s="12" t="s">
        <v>54</v>
      </c>
      <c r="AF114" s="14">
        <f t="shared" si="0"/>
        <v>9.7000000000000003E-3</v>
      </c>
      <c r="AG114" s="11" t="s">
        <v>180</v>
      </c>
    </row>
    <row r="115" spans="1:33" x14ac:dyDescent="0.2">
      <c r="A115" s="8">
        <v>9409</v>
      </c>
      <c r="B115" s="9" t="s">
        <v>311</v>
      </c>
      <c r="C115" s="10">
        <v>43524</v>
      </c>
      <c r="D115" s="11">
        <v>40</v>
      </c>
      <c r="E115" s="12" t="s">
        <v>34</v>
      </c>
      <c r="F115" s="12" t="s">
        <v>35</v>
      </c>
      <c r="G115" s="12" t="s">
        <v>36</v>
      </c>
      <c r="H115" s="12" t="s">
        <v>37</v>
      </c>
      <c r="I115" s="11" t="s">
        <v>177</v>
      </c>
      <c r="J115" s="12" t="s">
        <v>324</v>
      </c>
      <c r="K115" s="13" t="s">
        <v>309</v>
      </c>
      <c r="L115" s="11" t="str">
        <f>"000014"</f>
        <v>000014</v>
      </c>
      <c r="M115" s="10">
        <v>43187</v>
      </c>
      <c r="N115" s="11" t="str">
        <f>"000028"</f>
        <v>000028</v>
      </c>
      <c r="O115" s="10">
        <v>43489</v>
      </c>
      <c r="P115" s="11" t="str">
        <f>"000260"</f>
        <v>000260</v>
      </c>
      <c r="Q115" s="10">
        <v>43490</v>
      </c>
      <c r="R115" s="11"/>
      <c r="S115" s="11" t="str">
        <f>"009471"</f>
        <v>009471</v>
      </c>
      <c r="T115" s="10">
        <v>43519</v>
      </c>
      <c r="U115" s="14">
        <v>0.97</v>
      </c>
      <c r="V115" s="14">
        <v>9.7000000000000003E-2</v>
      </c>
      <c r="W115" s="14">
        <v>0.873</v>
      </c>
      <c r="X115" s="11">
        <v>362</v>
      </c>
      <c r="Y115" s="10">
        <v>43524</v>
      </c>
      <c r="Z115" s="11">
        <v>9964339888</v>
      </c>
      <c r="AA115" s="12" t="s">
        <v>325</v>
      </c>
      <c r="AB115" s="11" t="s">
        <v>51</v>
      </c>
      <c r="AC115" s="12" t="s">
        <v>52</v>
      </c>
      <c r="AD115" s="11" t="s">
        <v>53</v>
      </c>
      <c r="AE115" s="12" t="s">
        <v>54</v>
      </c>
      <c r="AF115" s="14">
        <f t="shared" si="0"/>
        <v>9.7000000000000003E-3</v>
      </c>
      <c r="AG115" s="11" t="s">
        <v>92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2019-06-12T11:06:15Z</dcterms:modified>
</cp:coreProperties>
</file>