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8" i="1" l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<sst xmlns="http://schemas.openxmlformats.org/spreadsheetml/2006/main" count="691" uniqueCount="202">
  <si>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</si>
  <si>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</si>
  <si>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</si>
  <si>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</si>
  <si>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</si>
  <si>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</si>
  <si>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</si>
  <si>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</si>
  <si>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</si>
  <si>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</si>
  <si>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</si>
  <si>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</si>
  <si>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</si>
  <si>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</si>
  <si>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</si>
  <si>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</si>
  <si>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</si>
  <si>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</si>
  <si>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</si>
  <si>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</si>
  <si>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</si>
  <si>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</si>
  <si>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</si>
  <si>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</si>
  <si>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</si>
  <si>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</si>
  <si>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</si>
  <si>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</si>
  <si>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</si>
  <si>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</si>
  <si>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</si>
  <si>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</si>
  <si>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</si>
  <si>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</si>
  <si>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Peenya Industrial Area</t>
  </si>
  <si>
    <t>Peenya Industrial Town</t>
  </si>
  <si>
    <t>Heggana Halli</t>
  </si>
  <si>
    <t>Dasara Halli</t>
  </si>
  <si>
    <t>041-15-000008</t>
  </si>
  <si>
    <t>Improvements to drain by providing flagging course and Covering slab to cross roads of Shivapura in ward no. 41</t>
  </si>
  <si>
    <t>Footpaths &amp; Walkability</t>
  </si>
  <si>
    <t>MOHAN KUMAR. B</t>
  </si>
  <si>
    <t>P1771</t>
  </si>
  <si>
    <t>Zone Works - POW Works</t>
  </si>
  <si>
    <t>ddo463</t>
  </si>
  <si>
    <t xml:space="preserve"> Assistant Executive Engineer Peenya Industrial Area Dasarahalli Zone</t>
  </si>
  <si>
    <t>Pending</t>
  </si>
  <si>
    <t>041-16-000008</t>
  </si>
  <si>
    <t>Repairs of Culverts, drains and footpath in ward no. 41 Peenya Industrial Area</t>
  </si>
  <si>
    <t>Mahendra Engg works</t>
  </si>
  <si>
    <t>May</t>
  </si>
  <si>
    <t>041-17-000043</t>
  </si>
  <si>
    <t>Providing CC Camera at Garbage Block Spots in ward no 41</t>
  </si>
  <si>
    <t>Crime &amp; Safety</t>
  </si>
  <si>
    <t>Jagaish K</t>
  </si>
  <si>
    <t>P3110</t>
  </si>
  <si>
    <t>14th Finance Commission Grant Works</t>
  </si>
  <si>
    <t>Spill Over</t>
  </si>
  <si>
    <t>June</t>
  </si>
  <si>
    <t>041-16-000012</t>
  </si>
  <si>
    <t>Improvements to Road Drain and culverts in Rajgopalnagara 11th cross Ganapathinagara and MEI colony 1st cross road at Peenya Industrial area in ward no 41</t>
  </si>
  <si>
    <t>KRIDL</t>
  </si>
  <si>
    <t>P2415</t>
  </si>
  <si>
    <t>Reserve fund for TandF Committee</t>
  </si>
  <si>
    <t>041-16-000010</t>
  </si>
  <si>
    <t>Improvements to Road Drain and culverts in Rajarajeshwarinagara 3rd 4th 5th 6th 7th 8th 9th and 10th cross at Peenya Industrial area in ward no 41</t>
  </si>
  <si>
    <t>041-15-000007</t>
  </si>
  <si>
    <t>Improvements to drain by providing flagging course and Asphalting to Rajani form cross roads in Rajeshwarinagara ward no. 41</t>
  </si>
  <si>
    <t>041-16-000011</t>
  </si>
  <si>
    <t>Improvements to Road Drain and culverts in Chamundipura and Basaveshwara badavane at Peenya Industrial area in ward no 41</t>
  </si>
  <si>
    <t>July</t>
  </si>
  <si>
    <t>041-13-000034</t>
  </si>
  <si>
    <t>Asphalting to Shivapura Main road in Ward no. 41 PIA sub division.</t>
  </si>
  <si>
    <t>Roads &amp; Drivablility</t>
  </si>
  <si>
    <t>B T RAVIKUMAR</t>
  </si>
  <si>
    <t>August</t>
  </si>
  <si>
    <t>041-16-000027</t>
  </si>
  <si>
    <t>Development and Improvements to Roads and drain in ward. No.41 Peenya Industrial area surroundings.</t>
  </si>
  <si>
    <t>P0190</t>
  </si>
  <si>
    <t>Works sanctioned by Hon Mayor</t>
  </si>
  <si>
    <t>041-15-000005</t>
  </si>
  <si>
    <t>Improvements to drain and Asphalting to cross roads of Ganapathinagara and Gangadhareshwara Badavane in ward no. 41</t>
  </si>
  <si>
    <t>ddo023</t>
  </si>
  <si>
    <t xml:space="preserve"> Assistant Executive Engineer Dasarahalli SubDiv</t>
  </si>
  <si>
    <t>041-15-000002</t>
  </si>
  <si>
    <t>Asphalting to main and cross roads of Gruhalakshmi Badavane in ward no. 41</t>
  </si>
  <si>
    <t>041-15-000006</t>
  </si>
  <si>
    <t>Improvements to drain and Asphalting to cross roads of Iyengar Badavane in ward no. 41</t>
  </si>
  <si>
    <t>314-12-000090</t>
  </si>
  <si>
    <t>Annual Street light maintenance at ward no 41 Package-D6</t>
  </si>
  <si>
    <t>M/s Manoj Enterprises</t>
  </si>
  <si>
    <t>P0300</t>
  </si>
  <si>
    <t>M and R to Street Lights - Replacement of Burnt Bulbs etc. (Package)</t>
  </si>
  <si>
    <t>ddo466</t>
  </si>
  <si>
    <t xml:space="preserve"> Assistant Executive Engineer Electrical Dasarahalli Zone</t>
  </si>
  <si>
    <t>September</t>
  </si>
  <si>
    <t>041-13-000007</t>
  </si>
  <si>
    <t>Improvements to Internal roads of Rajeshwari Nagara in ward no 41</t>
  </si>
  <si>
    <t>Other Ward Works</t>
  </si>
  <si>
    <t>P2201</t>
  </si>
  <si>
    <t>Assembly Constituency Development Works under BBMP</t>
  </si>
  <si>
    <t>October</t>
  </si>
  <si>
    <t>304-18-000017</t>
  </si>
  <si>
    <t xml:space="preserve">Improvements and developments of Nelagadharanahalli main roads in Peenya Industrial area in ward no.41, Dasarahalli zone </t>
  </si>
  <si>
    <t>P3158</t>
  </si>
  <si>
    <t>SIP Infrastructure Project works</t>
  </si>
  <si>
    <t>ddo663</t>
  </si>
  <si>
    <t xml:space="preserve"> Executive Engineer Road Infrastructure Dasarahalli Division Central Zone</t>
  </si>
  <si>
    <t>Current</t>
  </si>
  <si>
    <t>304-18-000015</t>
  </si>
  <si>
    <t xml:space="preserve">Improvements and developments main roads and cross roads in Duggalammabadavane in ward no.41, Dasarahalli Zone. </t>
  </si>
  <si>
    <t>304-18-000016</t>
  </si>
  <si>
    <t xml:space="preserve">Improvements and developments of roads and footpath from NTTF circle to Ambedkar Colony, Shivapura colony in Peenya Industrial area in ward no.41, Dasarahalli Zone. </t>
  </si>
  <si>
    <t>304-18-000062</t>
  </si>
  <si>
    <t>Improvements and development of cross roads Gruhalakshmi Badavane in ward no 41</t>
  </si>
  <si>
    <t xml:space="preserve">KRIDL-West </t>
  </si>
  <si>
    <t>304-18-000051</t>
  </si>
  <si>
    <t>Improvements and development of KIADM cross roads near Andhrahalli main road in ward No.41 sub division.</t>
  </si>
  <si>
    <t>M/s Technical Manager-West</t>
  </si>
  <si>
    <t>304-18-000066</t>
  </si>
  <si>
    <t>Improvements and developments of Rajani Rarm main to Rajagopalanagara to Laggere main roads in ward No.41</t>
  </si>
  <si>
    <t>304-18-000054</t>
  </si>
  <si>
    <t>Consultancy Services for Preparation of Detailed Project Report for the work of Improvement of 8 no of roads and drains in ward no- 41, of Dasarahalli Zone</t>
  </si>
  <si>
    <t>304-18-000064</t>
  </si>
  <si>
    <t>Improvements and developments main roads and cross roads in Rajagopalanagar main road and Eastren side of Rajagopalanagar in ward no 41</t>
  </si>
  <si>
    <t>041-15-000004</t>
  </si>
  <si>
    <t>Improvements to drain and Asphalting to cross roads Westren side of Rajgopalonagara main road in ward no. 41</t>
  </si>
  <si>
    <t>November</t>
  </si>
  <si>
    <t>041-18-000028</t>
  </si>
  <si>
    <t>Maintenance of UGD works in ward no 41</t>
  </si>
  <si>
    <t>Water &amp; Sanitary</t>
  </si>
  <si>
    <t>P3295</t>
  </si>
  <si>
    <t>14th Finance Commission Works - UGD Works</t>
  </si>
  <si>
    <t>041-18-000025</t>
  </si>
  <si>
    <t>Maintenance of road and footpath in MEC layout in ward no 41</t>
  </si>
  <si>
    <t>P3296</t>
  </si>
  <si>
    <t>14th Finance Commission Works - Road and Footpath Maintenance</t>
  </si>
  <si>
    <t>041-18-000027</t>
  </si>
  <si>
    <t>Maintenance of park in ward no 41</t>
  </si>
  <si>
    <t>Trees, Parks &amp; Playgrounds</t>
  </si>
  <si>
    <t>P3292</t>
  </si>
  <si>
    <t>14th Finance Commission Works - Community Property Maintenance (including Parks)</t>
  </si>
  <si>
    <t>041-18-000031</t>
  </si>
  <si>
    <t>Providing drinking water supply in ward no 41</t>
  </si>
  <si>
    <t>Drinking Water</t>
  </si>
  <si>
    <t>P3293</t>
  </si>
  <si>
    <t>14th Finance Commission Works - Drinking Water</t>
  </si>
  <si>
    <t>041-18-000023</t>
  </si>
  <si>
    <t>Maintenance of Storm Water drain in ward no 41</t>
  </si>
  <si>
    <t>Storm Water Drains</t>
  </si>
  <si>
    <t>P3297</t>
  </si>
  <si>
    <t>14th Finance Commission Grants - SWD Works</t>
  </si>
  <si>
    <t>041-17-000029</t>
  </si>
  <si>
    <t>Repair of Culverts drain and footpath in ward no 41 PIA Sub division</t>
  </si>
  <si>
    <t>DV KUMAR</t>
  </si>
  <si>
    <t>December</t>
  </si>
  <si>
    <t>041-16-000005</t>
  </si>
  <si>
    <t>Providing flaging Coarse, Covering Slab and Asphalting to Shivapura and NelagadaranahalliCross roads in ward no. 41</t>
  </si>
  <si>
    <t>MUNIRAJU B</t>
  </si>
  <si>
    <t>January</t>
  </si>
  <si>
    <t>304-18-000052</t>
  </si>
  <si>
    <t>Improvements and development of road Sapthagiri Badavane roads in ward No.41, PIA sub division.</t>
  </si>
  <si>
    <t>304-18-000060</t>
  </si>
  <si>
    <t>Improvements and development of roads from Preethinagar main road to Cauvery nagar quarters road in ward no 41</t>
  </si>
  <si>
    <t>304-18-000063</t>
  </si>
  <si>
    <t>Improvements and development of main road and cross roads in Duggalamma Badavane in ward no 41</t>
  </si>
  <si>
    <t>M/s Technical Manager West</t>
  </si>
  <si>
    <t>M/s. Newzen Consultants Bangalore</t>
  </si>
  <si>
    <t>M/s. Newzen consultants bangalore</t>
  </si>
  <si>
    <t>041-17-000009</t>
  </si>
  <si>
    <t>Improvements Roads and drains in ward 41 Peenya Industrial area</t>
  </si>
  <si>
    <t>041-18-000024</t>
  </si>
  <si>
    <t>Maintenance of Soild waste Managment in ward no 41</t>
  </si>
  <si>
    <t>Health &amp; Sanitation</t>
  </si>
  <si>
    <t>P3298</t>
  </si>
  <si>
    <t>14th Finance Commission Works - SWM Works</t>
  </si>
  <si>
    <t>041-18-000026</t>
  </si>
  <si>
    <t>Maintenance of public toiled layout in ward no 41</t>
  </si>
  <si>
    <t>P3294</t>
  </si>
  <si>
    <t>14th Finance Commission Works - General Public ToiletandSeptage Maintenance</t>
  </si>
  <si>
    <t>041-18-000029</t>
  </si>
  <si>
    <t>Maintenance of crematorium and burriual ground and office maintenance</t>
  </si>
  <si>
    <t>Public Amenities</t>
  </si>
  <si>
    <t>P3291</t>
  </si>
  <si>
    <t>14th Fin  -Maintenance of Cremotorium, Burial Grounds</t>
  </si>
  <si>
    <t>February</t>
  </si>
  <si>
    <t>041-17-000024</t>
  </si>
  <si>
    <t>Development of drain and road near Maramma Temple in Nelagadharanahalli in warad no 41 PIA Sub division</t>
  </si>
  <si>
    <t>KALEGOWDA KL</t>
  </si>
  <si>
    <t>041-16-000001</t>
  </si>
  <si>
    <t>Operation and Maintenance of stree light at Peenya Industrial Area Ward No. 41 PackageD-7</t>
  </si>
  <si>
    <t>M/s Geetha vidyuth Enterprises</t>
  </si>
  <si>
    <t>041-17-000028</t>
  </si>
  <si>
    <t>Removal of Silt and debries in ward no 41 PIA Sub division</t>
  </si>
  <si>
    <t>B MUNIRAJU</t>
  </si>
  <si>
    <t>March</t>
  </si>
  <si>
    <t>041-17-000023</t>
  </si>
  <si>
    <t>Development of drain and road near Chowdamma devi Temple in Nelagadharanahalli in ward no 41 PIA Sub division</t>
  </si>
  <si>
    <t>SIDDAPPA</t>
  </si>
  <si>
    <t>041-17-000022</t>
  </si>
  <si>
    <t>Development of drain and road at Nelagadharanahalli near Shanthamma house in ward no 41 PIA Sub division</t>
  </si>
  <si>
    <t>G ASWATHAPPA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</si>
</sst>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workbookViewId="0">
      <pane ySplit="1" topLeftCell="A2" activePane="bottomLeft" state="frozen"/>
      <selection activeCell="H1" sqref="H1"/>
      <selection pane="bottomLeft" activeCell="A2" sqref="A2:XFD4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356</v>
      </c>
      <c r="B2" s="9" t="s">
        <v>33</v>
      </c>
      <c r="C2" s="10">
        <v>43200</v>
      </c>
      <c r="D2" s="11">
        <v>41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"000411"</f>
        <v>000411</v>
      </c>
      <c r="M2" s="10">
        <v>42094</v>
      </c>
      <c r="N2" s="11" t="str">
        <f>"000022"</f>
        <v>000022</v>
      </c>
      <c r="O2" s="10">
        <v>42559</v>
      </c>
      <c r="P2" s="11" t="str">
        <f>"000285"</f>
        <v>000285</v>
      </c>
      <c r="Q2" s="10">
        <v>42559</v>
      </c>
      <c r="R2" s="11">
        <v>15</v>
      </c>
      <c r="S2" s="11" t="str">
        <f>"011037"</f>
        <v>011037</v>
      </c>
      <c r="T2" s="10">
        <v>43187</v>
      </c>
      <c r="U2" s="14">
        <v>23.80864</v>
      </c>
      <c r="V2" s="14">
        <v>1.71594</v>
      </c>
      <c r="W2" s="14">
        <v>22.092700000000001</v>
      </c>
      <c r="X2" s="11">
        <v>9</v>
      </c>
      <c r="Y2" s="10">
        <v>43200</v>
      </c>
      <c r="Z2" s="11">
        <v>9448881995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0.2380864</v>
      </c>
      <c r="AG2" s="11" t="s">
        <v>46</v>
      </c>
    </row>
    <row r="3" spans="1:33" x14ac:dyDescent="0.2">
      <c r="A3" s="8">
        <v>606</v>
      </c>
      <c r="B3" s="9" t="s">
        <v>33</v>
      </c>
      <c r="C3" s="10">
        <v>43214</v>
      </c>
      <c r="D3" s="11">
        <v>41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40</v>
      </c>
      <c r="L3" s="11" t="str">
        <f>"000036"</f>
        <v>000036</v>
      </c>
      <c r="M3" s="10">
        <v>42453</v>
      </c>
      <c r="N3" s="11" t="str">
        <f>"000016"</f>
        <v>000016</v>
      </c>
      <c r="O3" s="10">
        <v>42521</v>
      </c>
      <c r="P3" s="11" t="str">
        <f>"000112"</f>
        <v>000112</v>
      </c>
      <c r="Q3" s="10">
        <v>42521</v>
      </c>
      <c r="R3" s="11">
        <v>16</v>
      </c>
      <c r="S3" s="11" t="str">
        <f>"000533"</f>
        <v>000533</v>
      </c>
      <c r="T3" s="10">
        <v>43203</v>
      </c>
      <c r="U3" s="14">
        <v>8.9609500000000004</v>
      </c>
      <c r="V3" s="14">
        <v>0.63143000000000005</v>
      </c>
      <c r="W3" s="14">
        <v>8.3295200000000005</v>
      </c>
      <c r="X3" s="11">
        <v>23</v>
      </c>
      <c r="Y3" s="10">
        <v>43214</v>
      </c>
      <c r="Z3" s="11">
        <v>9035063712</v>
      </c>
      <c r="AA3" s="12" t="s">
        <v>49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8.9609500000000009E-2</v>
      </c>
      <c r="AG3" s="11" t="s">
        <v>46</v>
      </c>
    </row>
    <row r="4" spans="1:33" x14ac:dyDescent="0.2">
      <c r="A4" s="8">
        <v>1296</v>
      </c>
      <c r="B4" s="9" t="s">
        <v>50</v>
      </c>
      <c r="C4" s="10">
        <v>43241</v>
      </c>
      <c r="D4" s="11">
        <v>41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51</v>
      </c>
      <c r="J4" s="12" t="s">
        <v>52</v>
      </c>
      <c r="K4" s="13" t="s">
        <v>53</v>
      </c>
      <c r="L4" s="11" t="str">
        <f>"000110"</f>
        <v>000110</v>
      </c>
      <c r="M4" s="10">
        <v>43077</v>
      </c>
      <c r="N4" s="11" t="str">
        <f>"000001"</f>
        <v>000001</v>
      </c>
      <c r="O4" s="10">
        <v>43201</v>
      </c>
      <c r="P4" s="11" t="str">
        <f>"000010"</f>
        <v>000010</v>
      </c>
      <c r="Q4" s="10">
        <v>43201</v>
      </c>
      <c r="R4" s="11">
        <v>17</v>
      </c>
      <c r="S4" s="11" t="str">
        <f>"001602"</f>
        <v>001602</v>
      </c>
      <c r="T4" s="10">
        <v>43239</v>
      </c>
      <c r="U4" s="14">
        <v>9.8927399999999999</v>
      </c>
      <c r="V4" s="14">
        <v>0.21625</v>
      </c>
      <c r="W4" s="14">
        <v>9.6764899999999994</v>
      </c>
      <c r="X4" s="11">
        <v>56</v>
      </c>
      <c r="Y4" s="10">
        <v>43241</v>
      </c>
      <c r="Z4" s="11">
        <v>9900175940</v>
      </c>
      <c r="AA4" s="12" t="s">
        <v>54</v>
      </c>
      <c r="AB4" s="11" t="s">
        <v>55</v>
      </c>
      <c r="AC4" s="12" t="s">
        <v>56</v>
      </c>
      <c r="AD4" s="11" t="s">
        <v>44</v>
      </c>
      <c r="AE4" s="12" t="s">
        <v>45</v>
      </c>
      <c r="AF4" s="14">
        <v>9.8927399999999999E-2</v>
      </c>
      <c r="AG4" s="11" t="s">
        <v>57</v>
      </c>
    </row>
    <row r="5" spans="1:33" x14ac:dyDescent="0.2">
      <c r="A5" s="8">
        <v>2506</v>
      </c>
      <c r="B5" s="9" t="s">
        <v>58</v>
      </c>
      <c r="C5" s="10">
        <v>43274</v>
      </c>
      <c r="D5" s="11">
        <v>41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59</v>
      </c>
      <c r="J5" s="12" t="s">
        <v>60</v>
      </c>
      <c r="K5" s="13" t="s">
        <v>40</v>
      </c>
      <c r="L5" s="11" t="str">
        <f>"000052"</f>
        <v>000052</v>
      </c>
      <c r="M5" s="10">
        <v>42608</v>
      </c>
      <c r="N5" s="11" t="str">
        <f>"000092"</f>
        <v>000092</v>
      </c>
      <c r="O5" s="10">
        <v>42665</v>
      </c>
      <c r="P5" s="11" t="str">
        <f>"000466"</f>
        <v>000466</v>
      </c>
      <c r="Q5" s="10">
        <v>42669</v>
      </c>
      <c r="R5" s="11">
        <v>16</v>
      </c>
      <c r="S5" s="11" t="str">
        <f>"002763"</f>
        <v>002763</v>
      </c>
      <c r="T5" s="10">
        <v>43271</v>
      </c>
      <c r="U5" s="14">
        <v>49.125039999999998</v>
      </c>
      <c r="V5" s="14">
        <v>6.4197600000000001</v>
      </c>
      <c r="W5" s="14">
        <v>42.705280000000002</v>
      </c>
      <c r="X5" s="11">
        <v>99</v>
      </c>
      <c r="Y5" s="10">
        <v>43274</v>
      </c>
      <c r="Z5" s="11">
        <v>9889219009</v>
      </c>
      <c r="AA5" s="12" t="s">
        <v>61</v>
      </c>
      <c r="AB5" s="11" t="s">
        <v>62</v>
      </c>
      <c r="AC5" s="12" t="s">
        <v>63</v>
      </c>
      <c r="AD5" s="11" t="s">
        <v>44</v>
      </c>
      <c r="AE5" s="12" t="s">
        <v>45</v>
      </c>
      <c r="AF5" s="14">
        <v>0.49125039999999998</v>
      </c>
      <c r="AG5" s="11" t="s">
        <v>46</v>
      </c>
    </row>
    <row r="6" spans="1:33" x14ac:dyDescent="0.2">
      <c r="A6" s="8">
        <v>2507</v>
      </c>
      <c r="B6" s="9" t="s">
        <v>58</v>
      </c>
      <c r="C6" s="10">
        <v>43274</v>
      </c>
      <c r="D6" s="11">
        <v>41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64</v>
      </c>
      <c r="J6" s="12" t="s">
        <v>65</v>
      </c>
      <c r="K6" s="13" t="s">
        <v>40</v>
      </c>
      <c r="L6" s="11" t="str">
        <f>"000053"</f>
        <v>000053</v>
      </c>
      <c r="M6" s="10">
        <v>42608</v>
      </c>
      <c r="N6" s="11" t="str">
        <f>"000090"</f>
        <v>000090</v>
      </c>
      <c r="O6" s="10">
        <v>42665</v>
      </c>
      <c r="P6" s="11" t="str">
        <f>"000467"</f>
        <v>000467</v>
      </c>
      <c r="Q6" s="10">
        <v>42669</v>
      </c>
      <c r="R6" s="11">
        <v>16</v>
      </c>
      <c r="S6" s="11" t="str">
        <f>"002764"</f>
        <v>002764</v>
      </c>
      <c r="T6" s="10">
        <v>43271</v>
      </c>
      <c r="U6" s="14">
        <v>49.619500000000002</v>
      </c>
      <c r="V6" s="14">
        <v>6.4795999999999996</v>
      </c>
      <c r="W6" s="14">
        <v>43.139899999999997</v>
      </c>
      <c r="X6" s="11">
        <v>99</v>
      </c>
      <c r="Y6" s="10">
        <v>43274</v>
      </c>
      <c r="Z6" s="11">
        <v>9889219009</v>
      </c>
      <c r="AA6" s="12" t="s">
        <v>61</v>
      </c>
      <c r="AB6" s="11" t="s">
        <v>62</v>
      </c>
      <c r="AC6" s="12" t="s">
        <v>63</v>
      </c>
      <c r="AD6" s="11" t="s">
        <v>44</v>
      </c>
      <c r="AE6" s="12" t="s">
        <v>45</v>
      </c>
      <c r="AF6" s="14">
        <v>0.496195</v>
      </c>
      <c r="AG6" s="11" t="s">
        <v>46</v>
      </c>
    </row>
    <row r="7" spans="1:33" x14ac:dyDescent="0.2">
      <c r="A7" s="8">
        <v>2508</v>
      </c>
      <c r="B7" s="9" t="s">
        <v>58</v>
      </c>
      <c r="C7" s="10">
        <v>43274</v>
      </c>
      <c r="D7" s="11">
        <v>41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66</v>
      </c>
      <c r="J7" s="12" t="s">
        <v>67</v>
      </c>
      <c r="K7" s="13" t="s">
        <v>40</v>
      </c>
      <c r="L7" s="11" t="str">
        <f>"000069"</f>
        <v>000069</v>
      </c>
      <c r="M7" s="10">
        <v>42629</v>
      </c>
      <c r="N7" s="11" t="str">
        <f>"000089"</f>
        <v>000089</v>
      </c>
      <c r="O7" s="10">
        <v>42665</v>
      </c>
      <c r="P7" s="11" t="str">
        <f>"000468"</f>
        <v>000468</v>
      </c>
      <c r="Q7" s="10">
        <v>42669</v>
      </c>
      <c r="R7" s="11">
        <v>15</v>
      </c>
      <c r="S7" s="11" t="str">
        <f>"002765"</f>
        <v>002765</v>
      </c>
      <c r="T7" s="10">
        <v>43271</v>
      </c>
      <c r="U7" s="14">
        <v>49.551729999999999</v>
      </c>
      <c r="V7" s="14">
        <v>6.4813900000000002</v>
      </c>
      <c r="W7" s="14">
        <v>43.070340000000002</v>
      </c>
      <c r="X7" s="11">
        <v>99</v>
      </c>
      <c r="Y7" s="10">
        <v>43274</v>
      </c>
      <c r="Z7" s="11">
        <v>9889219009</v>
      </c>
      <c r="AA7" s="12" t="s">
        <v>61</v>
      </c>
      <c r="AB7" s="11" t="s">
        <v>42</v>
      </c>
      <c r="AC7" s="12" t="s">
        <v>43</v>
      </c>
      <c r="AD7" s="11" t="s">
        <v>44</v>
      </c>
      <c r="AE7" s="12" t="s">
        <v>45</v>
      </c>
      <c r="AF7" s="14">
        <v>0.49551729999999999</v>
      </c>
      <c r="AG7" s="11" t="s">
        <v>46</v>
      </c>
    </row>
    <row r="8" spans="1:33" x14ac:dyDescent="0.2">
      <c r="A8" s="8">
        <v>2509</v>
      </c>
      <c r="B8" s="9" t="s">
        <v>58</v>
      </c>
      <c r="C8" s="10">
        <v>43274</v>
      </c>
      <c r="D8" s="11">
        <v>41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68</v>
      </c>
      <c r="J8" s="12" t="s">
        <v>69</v>
      </c>
      <c r="K8" s="13" t="s">
        <v>40</v>
      </c>
      <c r="L8" s="11" t="str">
        <f>"000051"</f>
        <v>000051</v>
      </c>
      <c r="M8" s="10">
        <v>42608</v>
      </c>
      <c r="N8" s="11" t="str">
        <f>"000091"</f>
        <v>000091</v>
      </c>
      <c r="O8" s="10">
        <v>42665</v>
      </c>
      <c r="P8" s="11" t="str">
        <f>"000469"</f>
        <v>000469</v>
      </c>
      <c r="Q8" s="10">
        <v>42669</v>
      </c>
      <c r="R8" s="11">
        <v>16</v>
      </c>
      <c r="S8" s="11" t="str">
        <f>"002766"</f>
        <v>002766</v>
      </c>
      <c r="T8" s="10">
        <v>43271</v>
      </c>
      <c r="U8" s="14">
        <v>49.518810000000002</v>
      </c>
      <c r="V8" s="14">
        <v>6.4674100000000001</v>
      </c>
      <c r="W8" s="14">
        <v>43.051400000000001</v>
      </c>
      <c r="X8" s="11">
        <v>99</v>
      </c>
      <c r="Y8" s="10">
        <v>43274</v>
      </c>
      <c r="Z8" s="11">
        <v>9889219009</v>
      </c>
      <c r="AA8" s="12" t="s">
        <v>61</v>
      </c>
      <c r="AB8" s="11" t="s">
        <v>62</v>
      </c>
      <c r="AC8" s="12" t="s">
        <v>63</v>
      </c>
      <c r="AD8" s="11" t="s">
        <v>44</v>
      </c>
      <c r="AE8" s="12" t="s">
        <v>45</v>
      </c>
      <c r="AF8" s="14">
        <v>0.49518810000000002</v>
      </c>
      <c r="AG8" s="11" t="s">
        <v>46</v>
      </c>
    </row>
    <row r="9" spans="1:33" x14ac:dyDescent="0.2">
      <c r="A9" s="8">
        <v>3146</v>
      </c>
      <c r="B9" s="9" t="s">
        <v>70</v>
      </c>
      <c r="C9" s="10">
        <v>43290</v>
      </c>
      <c r="D9" s="11">
        <v>41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71</v>
      </c>
      <c r="J9" s="12" t="s">
        <v>72</v>
      </c>
      <c r="K9" s="13" t="s">
        <v>73</v>
      </c>
      <c r="L9" s="11" t="str">
        <f>"00O135"</f>
        <v>00O135</v>
      </c>
      <c r="M9" s="10">
        <v>41835</v>
      </c>
      <c r="N9" s="11" t="str">
        <f>"000115"</f>
        <v>000115</v>
      </c>
      <c r="O9" s="10">
        <v>42724</v>
      </c>
      <c r="P9" s="11" t="str">
        <f>"000541"</f>
        <v>000541</v>
      </c>
      <c r="Q9" s="10">
        <v>42733</v>
      </c>
      <c r="R9" s="11">
        <v>13</v>
      </c>
      <c r="S9" s="11" t="str">
        <f>"003420"</f>
        <v>003420</v>
      </c>
      <c r="T9" s="10">
        <v>43288</v>
      </c>
      <c r="U9" s="14">
        <v>23.572970000000002</v>
      </c>
      <c r="V9" s="14">
        <v>1.79044</v>
      </c>
      <c r="W9" s="14">
        <v>21.782530000000001</v>
      </c>
      <c r="X9" s="11">
        <v>117</v>
      </c>
      <c r="Y9" s="10">
        <v>43290</v>
      </c>
      <c r="Z9" s="11">
        <v>7353903103</v>
      </c>
      <c r="AA9" s="12" t="s">
        <v>74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0.23572970000000001</v>
      </c>
      <c r="AG9" s="11" t="s">
        <v>46</v>
      </c>
    </row>
    <row r="10" spans="1:33" x14ac:dyDescent="0.2">
      <c r="A10" s="8">
        <v>4270</v>
      </c>
      <c r="B10" s="9" t="s">
        <v>75</v>
      </c>
      <c r="C10" s="10">
        <v>43315</v>
      </c>
      <c r="D10" s="11">
        <v>41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76</v>
      </c>
      <c r="J10" s="12" t="s">
        <v>77</v>
      </c>
      <c r="K10" s="13" t="s">
        <v>73</v>
      </c>
      <c r="L10" s="11" t="str">
        <f>"000100"</f>
        <v>000100</v>
      </c>
      <c r="M10" s="10">
        <v>42742</v>
      </c>
      <c r="N10" s="11" t="str">
        <f>"000128"</f>
        <v>000128</v>
      </c>
      <c r="O10" s="10">
        <v>42766</v>
      </c>
      <c r="P10" s="11" t="str">
        <f>"000590"</f>
        <v>000590</v>
      </c>
      <c r="Q10" s="10">
        <v>42766</v>
      </c>
      <c r="R10" s="11">
        <v>16</v>
      </c>
      <c r="S10" s="11" t="str">
        <f>"004534"</f>
        <v>004534</v>
      </c>
      <c r="T10" s="10">
        <v>43309</v>
      </c>
      <c r="U10" s="14">
        <v>48.76238</v>
      </c>
      <c r="V10" s="14">
        <v>6.3983400000000001</v>
      </c>
      <c r="W10" s="14">
        <v>42.364040000000003</v>
      </c>
      <c r="X10" s="11">
        <v>152</v>
      </c>
      <c r="Y10" s="10">
        <v>43315</v>
      </c>
      <c r="Z10" s="11">
        <v>9889219009</v>
      </c>
      <c r="AA10" s="12" t="s">
        <v>61</v>
      </c>
      <c r="AB10" s="11" t="s">
        <v>78</v>
      </c>
      <c r="AC10" s="12" t="s">
        <v>79</v>
      </c>
      <c r="AD10" s="11" t="s">
        <v>44</v>
      </c>
      <c r="AE10" s="12" t="s">
        <v>45</v>
      </c>
      <c r="AF10" s="14">
        <v>0.4876238</v>
      </c>
      <c r="AG10" s="11" t="s">
        <v>46</v>
      </c>
    </row>
    <row r="11" spans="1:33" x14ac:dyDescent="0.2">
      <c r="A11" s="8">
        <v>4758</v>
      </c>
      <c r="B11" s="9" t="s">
        <v>75</v>
      </c>
      <c r="C11" s="10">
        <v>43326</v>
      </c>
      <c r="D11" s="11">
        <v>41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80</v>
      </c>
      <c r="J11" s="12" t="s">
        <v>81</v>
      </c>
      <c r="K11" s="13" t="s">
        <v>73</v>
      </c>
      <c r="L11" s="11" t="str">
        <f>"000071"</f>
        <v>000071</v>
      </c>
      <c r="M11" s="10">
        <v>42629</v>
      </c>
      <c r="N11" s="11" t="str">
        <f>"000111"</f>
        <v>000111</v>
      </c>
      <c r="O11" s="10">
        <v>42674</v>
      </c>
      <c r="P11" s="11" t="str">
        <f>"000645"</f>
        <v>000645</v>
      </c>
      <c r="Q11" s="10">
        <v>42808</v>
      </c>
      <c r="R11" s="11">
        <v>15</v>
      </c>
      <c r="S11" s="11" t="str">
        <f>"004938"</f>
        <v>004938</v>
      </c>
      <c r="T11" s="10">
        <v>43318</v>
      </c>
      <c r="U11" s="14">
        <v>35</v>
      </c>
      <c r="V11" s="14">
        <v>4.7024999999999997</v>
      </c>
      <c r="W11" s="14">
        <v>30.297499999999999</v>
      </c>
      <c r="X11" s="11">
        <v>170</v>
      </c>
      <c r="Y11" s="10">
        <v>43326</v>
      </c>
      <c r="Z11" s="11">
        <v>9449219009</v>
      </c>
      <c r="AA11" s="12" t="s">
        <v>61</v>
      </c>
      <c r="AB11" s="11" t="s">
        <v>42</v>
      </c>
      <c r="AC11" s="12" t="s">
        <v>43</v>
      </c>
      <c r="AD11" s="11" t="s">
        <v>82</v>
      </c>
      <c r="AE11" s="12" t="s">
        <v>83</v>
      </c>
      <c r="AF11" s="14">
        <v>0.35</v>
      </c>
      <c r="AG11" s="11" t="s">
        <v>46</v>
      </c>
    </row>
    <row r="12" spans="1:33" x14ac:dyDescent="0.2">
      <c r="A12" s="8">
        <v>4759</v>
      </c>
      <c r="B12" s="9" t="s">
        <v>75</v>
      </c>
      <c r="C12" s="10">
        <v>43326</v>
      </c>
      <c r="D12" s="11">
        <v>41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84</v>
      </c>
      <c r="J12" s="12" t="s">
        <v>85</v>
      </c>
      <c r="K12" s="13" t="s">
        <v>73</v>
      </c>
      <c r="L12" s="11" t="str">
        <f>"000070"</f>
        <v>000070</v>
      </c>
      <c r="M12" s="10">
        <v>42629</v>
      </c>
      <c r="N12" s="11" t="str">
        <f>"000113"</f>
        <v>000113</v>
      </c>
      <c r="O12" s="10">
        <v>42674</v>
      </c>
      <c r="P12" s="11" t="str">
        <f>"000647"</f>
        <v>000647</v>
      </c>
      <c r="Q12" s="10">
        <v>42808</v>
      </c>
      <c r="R12" s="11">
        <v>15</v>
      </c>
      <c r="S12" s="11" t="str">
        <f>"004939"</f>
        <v>004939</v>
      </c>
      <c r="T12" s="10">
        <v>43318</v>
      </c>
      <c r="U12" s="14">
        <v>50</v>
      </c>
      <c r="V12" s="14">
        <v>6.7302499999999998</v>
      </c>
      <c r="W12" s="14">
        <v>43.269750000000002</v>
      </c>
      <c r="X12" s="11">
        <v>170</v>
      </c>
      <c r="Y12" s="10">
        <v>43326</v>
      </c>
      <c r="Z12" s="11">
        <v>9449219009</v>
      </c>
      <c r="AA12" s="12" t="s">
        <v>61</v>
      </c>
      <c r="AB12" s="11" t="s">
        <v>42</v>
      </c>
      <c r="AC12" s="12" t="s">
        <v>43</v>
      </c>
      <c r="AD12" s="11" t="s">
        <v>82</v>
      </c>
      <c r="AE12" s="12" t="s">
        <v>83</v>
      </c>
      <c r="AF12" s="14">
        <v>0.5</v>
      </c>
      <c r="AG12" s="11" t="s">
        <v>46</v>
      </c>
    </row>
    <row r="13" spans="1:33" x14ac:dyDescent="0.2">
      <c r="A13" s="8">
        <v>4760</v>
      </c>
      <c r="B13" s="9" t="s">
        <v>75</v>
      </c>
      <c r="C13" s="10">
        <v>43326</v>
      </c>
      <c r="D13" s="11">
        <v>41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86</v>
      </c>
      <c r="J13" s="12" t="s">
        <v>87</v>
      </c>
      <c r="K13" s="13" t="s">
        <v>73</v>
      </c>
      <c r="L13" s="11" t="str">
        <f>"000073"</f>
        <v>000073</v>
      </c>
      <c r="M13" s="10">
        <v>42630</v>
      </c>
      <c r="N13" s="11" t="str">
        <f>"000112"</f>
        <v>000112</v>
      </c>
      <c r="O13" s="10">
        <v>42674</v>
      </c>
      <c r="P13" s="11" t="str">
        <f>"000648"</f>
        <v>000648</v>
      </c>
      <c r="Q13" s="10">
        <v>42808</v>
      </c>
      <c r="R13" s="11">
        <v>15</v>
      </c>
      <c r="S13" s="11" t="str">
        <f>"004940"</f>
        <v>004940</v>
      </c>
      <c r="T13" s="10">
        <v>43318</v>
      </c>
      <c r="U13" s="14">
        <v>73.68947</v>
      </c>
      <c r="V13" s="14">
        <v>9.5725200000000008</v>
      </c>
      <c r="W13" s="14">
        <v>64.116950000000003</v>
      </c>
      <c r="X13" s="11">
        <v>170</v>
      </c>
      <c r="Y13" s="10">
        <v>43326</v>
      </c>
      <c r="Z13" s="11">
        <v>9449219002</v>
      </c>
      <c r="AA13" s="12" t="s">
        <v>61</v>
      </c>
      <c r="AB13" s="11" t="s">
        <v>42</v>
      </c>
      <c r="AC13" s="12" t="s">
        <v>43</v>
      </c>
      <c r="AD13" s="11" t="s">
        <v>44</v>
      </c>
      <c r="AE13" s="12" t="s">
        <v>45</v>
      </c>
      <c r="AF13" s="14">
        <v>0.73689470000000001</v>
      </c>
      <c r="AG13" s="11" t="s">
        <v>46</v>
      </c>
    </row>
    <row r="14" spans="1:33" x14ac:dyDescent="0.2">
      <c r="A14" s="8">
        <v>5083</v>
      </c>
      <c r="B14" s="9" t="s">
        <v>75</v>
      </c>
      <c r="C14" s="10">
        <v>43337</v>
      </c>
      <c r="D14" s="11">
        <v>41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88</v>
      </c>
      <c r="J14" s="12" t="s">
        <v>89</v>
      </c>
      <c r="K14" s="13" t="s">
        <v>40</v>
      </c>
      <c r="L14" s="11" t="str">
        <f>"000003"</f>
        <v>000003</v>
      </c>
      <c r="M14" s="10">
        <v>42209</v>
      </c>
      <c r="N14" s="11" t="str">
        <f>"000012"</f>
        <v>000012</v>
      </c>
      <c r="O14" s="10">
        <v>42910</v>
      </c>
      <c r="P14" s="11" t="str">
        <f>"00013A"</f>
        <v>00013A</v>
      </c>
      <c r="Q14" s="10">
        <v>42916</v>
      </c>
      <c r="R14" s="11">
        <v>12</v>
      </c>
      <c r="S14" s="11" t="str">
        <f>"005357"</f>
        <v>005357</v>
      </c>
      <c r="T14" s="10">
        <v>43335</v>
      </c>
      <c r="U14" s="14">
        <v>6.4152899999999997</v>
      </c>
      <c r="V14" s="14">
        <v>0.99968999999999997</v>
      </c>
      <c r="W14" s="14">
        <v>5.4156000000000004</v>
      </c>
      <c r="X14" s="11">
        <v>180</v>
      </c>
      <c r="Y14" s="10">
        <v>43337</v>
      </c>
      <c r="Z14" s="11">
        <v>9986316782</v>
      </c>
      <c r="AA14" s="12" t="s">
        <v>90</v>
      </c>
      <c r="AB14" s="11" t="s">
        <v>91</v>
      </c>
      <c r="AC14" s="12" t="s">
        <v>92</v>
      </c>
      <c r="AD14" s="11" t="s">
        <v>93</v>
      </c>
      <c r="AE14" s="12" t="s">
        <v>94</v>
      </c>
      <c r="AF14" s="14">
        <v>6.4152899999999999E-2</v>
      </c>
      <c r="AG14" s="11" t="s">
        <v>46</v>
      </c>
    </row>
    <row r="15" spans="1:33" x14ac:dyDescent="0.2">
      <c r="A15" s="8">
        <v>5210</v>
      </c>
      <c r="B15" s="9" t="s">
        <v>95</v>
      </c>
      <c r="C15" s="10">
        <v>43346</v>
      </c>
      <c r="D15" s="11">
        <v>41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96</v>
      </c>
      <c r="J15" s="12" t="s">
        <v>97</v>
      </c>
      <c r="K15" s="13" t="s">
        <v>98</v>
      </c>
      <c r="L15" s="11" t="str">
        <f>"000423"</f>
        <v>000423</v>
      </c>
      <c r="M15" s="10">
        <v>41341</v>
      </c>
      <c r="N15" s="11" t="str">
        <f>"000000"</f>
        <v>000000</v>
      </c>
      <c r="O15" s="10">
        <v>42824</v>
      </c>
      <c r="P15" s="11" t="str">
        <f>"000719"</f>
        <v>000719</v>
      </c>
      <c r="Q15" s="10">
        <v>42825</v>
      </c>
      <c r="R15" s="11">
        <v>13</v>
      </c>
      <c r="S15" s="11" t="str">
        <f>"005561"</f>
        <v>005561</v>
      </c>
      <c r="T15" s="10">
        <v>43341</v>
      </c>
      <c r="U15" s="14">
        <v>50</v>
      </c>
      <c r="V15" s="14">
        <v>6.7075800000000001</v>
      </c>
      <c r="W15" s="14">
        <v>43.29242</v>
      </c>
      <c r="X15" s="11">
        <v>193</v>
      </c>
      <c r="Y15" s="10">
        <v>43346</v>
      </c>
      <c r="Z15" s="11">
        <v>9449219009</v>
      </c>
      <c r="AA15" s="12" t="s">
        <v>61</v>
      </c>
      <c r="AB15" s="11" t="s">
        <v>99</v>
      </c>
      <c r="AC15" s="12" t="s">
        <v>100</v>
      </c>
      <c r="AD15" s="11" t="s">
        <v>44</v>
      </c>
      <c r="AE15" s="12" t="s">
        <v>45</v>
      </c>
      <c r="AF15" s="14">
        <f t="shared" ref="AF15:AF48" si="0">U15/100</f>
        <v>0.5</v>
      </c>
      <c r="AG15" s="11" t="s">
        <v>46</v>
      </c>
    </row>
    <row r="16" spans="1:33" x14ac:dyDescent="0.2">
      <c r="A16" s="8">
        <v>5987</v>
      </c>
      <c r="B16" s="9" t="s">
        <v>101</v>
      </c>
      <c r="C16" s="10">
        <v>43385</v>
      </c>
      <c r="D16" s="11">
        <v>41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102</v>
      </c>
      <c r="J16" s="12" t="s">
        <v>103</v>
      </c>
      <c r="K16" s="13" t="s">
        <v>98</v>
      </c>
      <c r="L16" s="11" t="str">
        <f>"000009"</f>
        <v>000009</v>
      </c>
      <c r="M16" s="10">
        <v>43285</v>
      </c>
      <c r="N16" s="11" t="str">
        <f>"000010"</f>
        <v>000010</v>
      </c>
      <c r="O16" s="10">
        <v>43285</v>
      </c>
      <c r="P16" s="11" t="str">
        <f>"000010"</f>
        <v>000010</v>
      </c>
      <c r="Q16" s="10">
        <v>43286</v>
      </c>
      <c r="R16" s="11">
        <v>18</v>
      </c>
      <c r="S16" s="11" t="str">
        <f>"006240"</f>
        <v>006240</v>
      </c>
      <c r="T16" s="10">
        <v>43380</v>
      </c>
      <c r="U16" s="14">
        <v>55.142510000000001</v>
      </c>
      <c r="V16" s="14">
        <v>6.7410100000000002</v>
      </c>
      <c r="W16" s="14">
        <v>48.401499999999999</v>
      </c>
      <c r="X16" s="11">
        <v>228</v>
      </c>
      <c r="Y16" s="10">
        <v>43385</v>
      </c>
      <c r="Z16" s="11">
        <v>9964929025</v>
      </c>
      <c r="AA16" s="12" t="s">
        <v>61</v>
      </c>
      <c r="AB16" s="11" t="s">
        <v>104</v>
      </c>
      <c r="AC16" s="12" t="s">
        <v>105</v>
      </c>
      <c r="AD16" s="11" t="s">
        <v>106</v>
      </c>
      <c r="AE16" s="12" t="s">
        <v>107</v>
      </c>
      <c r="AF16" s="14">
        <f t="shared" si="0"/>
        <v>0.5514251</v>
      </c>
      <c r="AG16" s="11" t="s">
        <v>108</v>
      </c>
    </row>
    <row r="17" spans="1:33" x14ac:dyDescent="0.2">
      <c r="A17" s="8">
        <v>5988</v>
      </c>
      <c r="B17" s="9" t="s">
        <v>101</v>
      </c>
      <c r="C17" s="10">
        <v>43385</v>
      </c>
      <c r="D17" s="11">
        <v>41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109</v>
      </c>
      <c r="J17" s="12" t="s">
        <v>110</v>
      </c>
      <c r="K17" s="13" t="s">
        <v>73</v>
      </c>
      <c r="L17" s="11" t="str">
        <f>"000007"</f>
        <v>000007</v>
      </c>
      <c r="M17" s="10">
        <v>43285</v>
      </c>
      <c r="N17" s="11" t="str">
        <f>"000008"</f>
        <v>000008</v>
      </c>
      <c r="O17" s="10">
        <v>43285</v>
      </c>
      <c r="P17" s="11" t="str">
        <f>"000011"</f>
        <v>000011</v>
      </c>
      <c r="Q17" s="10">
        <v>43286</v>
      </c>
      <c r="R17" s="11">
        <v>18</v>
      </c>
      <c r="S17" s="11" t="str">
        <f>"006285"</f>
        <v>006285</v>
      </c>
      <c r="T17" s="10">
        <v>43380</v>
      </c>
      <c r="U17" s="14">
        <v>119.60048</v>
      </c>
      <c r="V17" s="14">
        <v>11.05303</v>
      </c>
      <c r="W17" s="14">
        <v>108.54745</v>
      </c>
      <c r="X17" s="11">
        <v>228</v>
      </c>
      <c r="Y17" s="10">
        <v>43385</v>
      </c>
      <c r="Z17" s="11">
        <v>9964929025</v>
      </c>
      <c r="AA17" s="12" t="s">
        <v>61</v>
      </c>
      <c r="AB17" s="11" t="s">
        <v>104</v>
      </c>
      <c r="AC17" s="12" t="s">
        <v>105</v>
      </c>
      <c r="AD17" s="11" t="s">
        <v>106</v>
      </c>
      <c r="AE17" s="12" t="s">
        <v>107</v>
      </c>
      <c r="AF17" s="14">
        <f t="shared" si="0"/>
        <v>1.1960048000000001</v>
      </c>
      <c r="AG17" s="11" t="s">
        <v>108</v>
      </c>
    </row>
    <row r="18" spans="1:33" x14ac:dyDescent="0.2">
      <c r="A18" s="8">
        <v>5989</v>
      </c>
      <c r="B18" s="9" t="s">
        <v>101</v>
      </c>
      <c r="C18" s="10">
        <v>43385</v>
      </c>
      <c r="D18" s="11">
        <v>41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111</v>
      </c>
      <c r="J18" s="12" t="s">
        <v>112</v>
      </c>
      <c r="K18" s="13" t="s">
        <v>73</v>
      </c>
      <c r="L18" s="11" t="str">
        <f>"000008"</f>
        <v>000008</v>
      </c>
      <c r="M18" s="10">
        <v>43285</v>
      </c>
      <c r="N18" s="11" t="str">
        <f>"000009"</f>
        <v>000009</v>
      </c>
      <c r="O18" s="10">
        <v>43285</v>
      </c>
      <c r="P18" s="11" t="str">
        <f>"000012"</f>
        <v>000012</v>
      </c>
      <c r="Q18" s="10">
        <v>43286</v>
      </c>
      <c r="R18" s="11">
        <v>18</v>
      </c>
      <c r="S18" s="11" t="str">
        <f>"006286"</f>
        <v>006286</v>
      </c>
      <c r="T18" s="10">
        <v>43380</v>
      </c>
      <c r="U18" s="14">
        <v>117.25342000000001</v>
      </c>
      <c r="V18" s="14">
        <v>11.79105</v>
      </c>
      <c r="W18" s="14">
        <v>105.46237000000001</v>
      </c>
      <c r="X18" s="11">
        <v>228</v>
      </c>
      <c r="Y18" s="10">
        <v>43385</v>
      </c>
      <c r="Z18" s="11">
        <v>9964929025</v>
      </c>
      <c r="AA18" s="12" t="s">
        <v>61</v>
      </c>
      <c r="AB18" s="11" t="s">
        <v>104</v>
      </c>
      <c r="AC18" s="12" t="s">
        <v>105</v>
      </c>
      <c r="AD18" s="11" t="s">
        <v>106</v>
      </c>
      <c r="AE18" s="12" t="s">
        <v>107</v>
      </c>
      <c r="AF18" s="14">
        <f t="shared" si="0"/>
        <v>1.1725342000000001</v>
      </c>
      <c r="AG18" s="11" t="s">
        <v>108</v>
      </c>
    </row>
    <row r="19" spans="1:33" x14ac:dyDescent="0.2">
      <c r="A19" s="8">
        <v>5990</v>
      </c>
      <c r="B19" s="9" t="s">
        <v>101</v>
      </c>
      <c r="C19" s="10">
        <v>43385</v>
      </c>
      <c r="D19" s="11">
        <v>41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102</v>
      </c>
      <c r="J19" s="12" t="s">
        <v>103</v>
      </c>
      <c r="K19" s="13" t="s">
        <v>98</v>
      </c>
      <c r="L19" s="11" t="str">
        <f>"000009"</f>
        <v>000009</v>
      </c>
      <c r="M19" s="10">
        <v>43285</v>
      </c>
      <c r="N19" s="11" t="str">
        <f>"000010"</f>
        <v>000010</v>
      </c>
      <c r="O19" s="10">
        <v>43285</v>
      </c>
      <c r="P19" s="11" t="str">
        <f>"000010"</f>
        <v>000010</v>
      </c>
      <c r="Q19" s="10">
        <v>43286</v>
      </c>
      <c r="R19" s="11">
        <v>18</v>
      </c>
      <c r="S19" s="11" t="str">
        <f>"006240"</f>
        <v>006240</v>
      </c>
      <c r="T19" s="10">
        <v>43380</v>
      </c>
      <c r="U19" s="14">
        <v>55.142510000000001</v>
      </c>
      <c r="V19" s="14">
        <v>6.7410100000000002</v>
      </c>
      <c r="W19" s="14">
        <v>48.401499999999999</v>
      </c>
      <c r="X19" s="11">
        <v>228</v>
      </c>
      <c r="Y19" s="10">
        <v>43385</v>
      </c>
      <c r="Z19" s="11">
        <v>9964929025</v>
      </c>
      <c r="AA19" s="12" t="s">
        <v>61</v>
      </c>
      <c r="AB19" s="11" t="s">
        <v>104</v>
      </c>
      <c r="AC19" s="12" t="s">
        <v>105</v>
      </c>
      <c r="AD19" s="11" t="s">
        <v>106</v>
      </c>
      <c r="AE19" s="12" t="s">
        <v>107</v>
      </c>
      <c r="AF19" s="14">
        <f t="shared" si="0"/>
        <v>0.5514251</v>
      </c>
      <c r="AG19" s="11" t="s">
        <v>108</v>
      </c>
    </row>
    <row r="20" spans="1:33" x14ac:dyDescent="0.2">
      <c r="A20" s="8">
        <v>5991</v>
      </c>
      <c r="B20" s="9" t="s">
        <v>101</v>
      </c>
      <c r="C20" s="10">
        <v>43385</v>
      </c>
      <c r="D20" s="11">
        <v>41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109</v>
      </c>
      <c r="J20" s="12" t="s">
        <v>110</v>
      </c>
      <c r="K20" s="13" t="s">
        <v>73</v>
      </c>
      <c r="L20" s="11" t="str">
        <f>"000007"</f>
        <v>000007</v>
      </c>
      <c r="M20" s="10">
        <v>43285</v>
      </c>
      <c r="N20" s="11" t="str">
        <f>"000008"</f>
        <v>000008</v>
      </c>
      <c r="O20" s="10">
        <v>43285</v>
      </c>
      <c r="P20" s="11" t="str">
        <f>"000011"</f>
        <v>000011</v>
      </c>
      <c r="Q20" s="10">
        <v>43286</v>
      </c>
      <c r="R20" s="11">
        <v>18</v>
      </c>
      <c r="S20" s="11" t="str">
        <f>"006285"</f>
        <v>006285</v>
      </c>
      <c r="T20" s="10">
        <v>43380</v>
      </c>
      <c r="U20" s="14">
        <v>119.60048</v>
      </c>
      <c r="V20" s="14">
        <v>11.05303</v>
      </c>
      <c r="W20" s="14">
        <v>108.54745</v>
      </c>
      <c r="X20" s="11">
        <v>228</v>
      </c>
      <c r="Y20" s="10">
        <v>43385</v>
      </c>
      <c r="Z20" s="11">
        <v>9964929025</v>
      </c>
      <c r="AA20" s="12" t="s">
        <v>61</v>
      </c>
      <c r="AB20" s="11" t="s">
        <v>104</v>
      </c>
      <c r="AC20" s="12" t="s">
        <v>105</v>
      </c>
      <c r="AD20" s="11" t="s">
        <v>106</v>
      </c>
      <c r="AE20" s="12" t="s">
        <v>107</v>
      </c>
      <c r="AF20" s="14">
        <f t="shared" si="0"/>
        <v>1.1960048000000001</v>
      </c>
      <c r="AG20" s="11" t="s">
        <v>108</v>
      </c>
    </row>
    <row r="21" spans="1:33" x14ac:dyDescent="0.2">
      <c r="A21" s="8">
        <v>5992</v>
      </c>
      <c r="B21" s="9" t="s">
        <v>101</v>
      </c>
      <c r="C21" s="10">
        <v>43385</v>
      </c>
      <c r="D21" s="11">
        <v>41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111</v>
      </c>
      <c r="J21" s="12" t="s">
        <v>112</v>
      </c>
      <c r="K21" s="13" t="s">
        <v>73</v>
      </c>
      <c r="L21" s="11" t="str">
        <f>"000008"</f>
        <v>000008</v>
      </c>
      <c r="M21" s="10">
        <v>43285</v>
      </c>
      <c r="N21" s="11" t="str">
        <f>"000009"</f>
        <v>000009</v>
      </c>
      <c r="O21" s="10">
        <v>43285</v>
      </c>
      <c r="P21" s="11" t="str">
        <f>"000012"</f>
        <v>000012</v>
      </c>
      <c r="Q21" s="10">
        <v>43286</v>
      </c>
      <c r="R21" s="11">
        <v>18</v>
      </c>
      <c r="S21" s="11" t="str">
        <f>"006286"</f>
        <v>006286</v>
      </c>
      <c r="T21" s="10">
        <v>43380</v>
      </c>
      <c r="U21" s="14">
        <v>117.25342000000001</v>
      </c>
      <c r="V21" s="14">
        <v>11.79105</v>
      </c>
      <c r="W21" s="14">
        <v>105.46237000000001</v>
      </c>
      <c r="X21" s="11">
        <v>228</v>
      </c>
      <c r="Y21" s="10">
        <v>43385</v>
      </c>
      <c r="Z21" s="11">
        <v>9964929025</v>
      </c>
      <c r="AA21" s="12" t="s">
        <v>61</v>
      </c>
      <c r="AB21" s="11" t="s">
        <v>104</v>
      </c>
      <c r="AC21" s="12" t="s">
        <v>105</v>
      </c>
      <c r="AD21" s="11" t="s">
        <v>106</v>
      </c>
      <c r="AE21" s="12" t="s">
        <v>107</v>
      </c>
      <c r="AF21" s="14">
        <f t="shared" si="0"/>
        <v>1.1725342000000001</v>
      </c>
      <c r="AG21" s="11" t="s">
        <v>108</v>
      </c>
    </row>
    <row r="22" spans="1:33" x14ac:dyDescent="0.2">
      <c r="A22" s="8">
        <v>6518</v>
      </c>
      <c r="B22" s="9" t="s">
        <v>101</v>
      </c>
      <c r="C22" s="10">
        <v>43389</v>
      </c>
      <c r="D22" s="11">
        <v>41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113</v>
      </c>
      <c r="J22" s="12" t="s">
        <v>114</v>
      </c>
      <c r="K22" s="13" t="s">
        <v>98</v>
      </c>
      <c r="L22" s="11" t="str">
        <f>"000013"</f>
        <v>000013</v>
      </c>
      <c r="M22" s="10">
        <v>43357</v>
      </c>
      <c r="N22" s="11" t="str">
        <f>"000015"</f>
        <v>000015</v>
      </c>
      <c r="O22" s="10">
        <v>43357</v>
      </c>
      <c r="P22" s="11" t="str">
        <f>"000014"</f>
        <v>000014</v>
      </c>
      <c r="Q22" s="10">
        <v>43357</v>
      </c>
      <c r="R22" s="11">
        <v>18</v>
      </c>
      <c r="S22" s="11" t="str">
        <f>"006636"</f>
        <v>006636</v>
      </c>
      <c r="T22" s="10">
        <v>43385</v>
      </c>
      <c r="U22" s="14">
        <v>87.960449999999994</v>
      </c>
      <c r="V22" s="14">
        <v>8.8365500000000008</v>
      </c>
      <c r="W22" s="14">
        <v>79.123900000000006</v>
      </c>
      <c r="X22" s="11">
        <v>235</v>
      </c>
      <c r="Y22" s="10">
        <v>43389</v>
      </c>
      <c r="Z22" s="11">
        <v>9449863064</v>
      </c>
      <c r="AA22" s="12" t="s">
        <v>115</v>
      </c>
      <c r="AB22" s="11" t="s">
        <v>104</v>
      </c>
      <c r="AC22" s="12" t="s">
        <v>105</v>
      </c>
      <c r="AD22" s="11" t="s">
        <v>106</v>
      </c>
      <c r="AE22" s="12" t="s">
        <v>107</v>
      </c>
      <c r="AF22" s="14">
        <f t="shared" si="0"/>
        <v>0.8796044999999999</v>
      </c>
      <c r="AG22" s="11" t="s">
        <v>108</v>
      </c>
    </row>
    <row r="23" spans="1:33" x14ac:dyDescent="0.2">
      <c r="A23" s="8">
        <v>6920</v>
      </c>
      <c r="B23" s="9" t="s">
        <v>101</v>
      </c>
      <c r="C23" s="10">
        <v>43402</v>
      </c>
      <c r="D23" s="11">
        <v>41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116</v>
      </c>
      <c r="J23" s="12" t="s">
        <v>117</v>
      </c>
      <c r="K23" s="13" t="s">
        <v>98</v>
      </c>
      <c r="L23" s="11" t="str">
        <f>"000018"</f>
        <v>000018</v>
      </c>
      <c r="M23" s="10">
        <v>43385</v>
      </c>
      <c r="N23" s="11" t="str">
        <f>"000017"</f>
        <v>000017</v>
      </c>
      <c r="O23" s="10">
        <v>43385</v>
      </c>
      <c r="P23" s="11" t="str">
        <f>"000016"</f>
        <v>000016</v>
      </c>
      <c r="Q23" s="10">
        <v>43389</v>
      </c>
      <c r="R23" s="11">
        <v>18</v>
      </c>
      <c r="S23" s="11" t="str">
        <f>"007083"</f>
        <v>007083</v>
      </c>
      <c r="T23" s="10">
        <v>43400</v>
      </c>
      <c r="U23" s="14">
        <v>149.05047999999999</v>
      </c>
      <c r="V23" s="14">
        <v>16.333100000000002</v>
      </c>
      <c r="W23" s="14">
        <v>132.71737999999999</v>
      </c>
      <c r="X23" s="11">
        <v>252</v>
      </c>
      <c r="Y23" s="10">
        <v>43402</v>
      </c>
      <c r="Z23" s="11">
        <v>9343403995</v>
      </c>
      <c r="AA23" s="12" t="s">
        <v>118</v>
      </c>
      <c r="AB23" s="11" t="s">
        <v>104</v>
      </c>
      <c r="AC23" s="12" t="s">
        <v>105</v>
      </c>
      <c r="AD23" s="11" t="s">
        <v>106</v>
      </c>
      <c r="AE23" s="12" t="s">
        <v>107</v>
      </c>
      <c r="AF23" s="14">
        <f t="shared" si="0"/>
        <v>1.4905047999999999</v>
      </c>
      <c r="AG23" s="11" t="s">
        <v>108</v>
      </c>
    </row>
    <row r="24" spans="1:33" x14ac:dyDescent="0.2">
      <c r="A24" s="8">
        <v>6921</v>
      </c>
      <c r="B24" s="9" t="s">
        <v>101</v>
      </c>
      <c r="C24" s="10">
        <v>43402</v>
      </c>
      <c r="D24" s="11">
        <v>41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119</v>
      </c>
      <c r="J24" s="12" t="s">
        <v>120</v>
      </c>
      <c r="K24" s="13" t="s">
        <v>98</v>
      </c>
      <c r="L24" s="11" t="str">
        <f>"000022"</f>
        <v>000022</v>
      </c>
      <c r="M24" s="10">
        <v>43388</v>
      </c>
      <c r="N24" s="11" t="str">
        <f>"000020"</f>
        <v>000020</v>
      </c>
      <c r="O24" s="10">
        <v>43388</v>
      </c>
      <c r="P24" s="11" t="str">
        <f>"000017"</f>
        <v>000017</v>
      </c>
      <c r="Q24" s="10">
        <v>43389</v>
      </c>
      <c r="R24" s="11">
        <v>18</v>
      </c>
      <c r="S24" s="11" t="str">
        <f>"007084"</f>
        <v>007084</v>
      </c>
      <c r="T24" s="10">
        <v>43400</v>
      </c>
      <c r="U24" s="14">
        <v>96.34384</v>
      </c>
      <c r="V24" s="14">
        <v>11.21161</v>
      </c>
      <c r="W24" s="14">
        <v>85.132230000000007</v>
      </c>
      <c r="X24" s="11">
        <v>252</v>
      </c>
      <c r="Y24" s="10">
        <v>43402</v>
      </c>
      <c r="Z24" s="11">
        <v>9448512985</v>
      </c>
      <c r="AA24" s="12" t="s">
        <v>118</v>
      </c>
      <c r="AB24" s="11" t="s">
        <v>104</v>
      </c>
      <c r="AC24" s="12" t="s">
        <v>105</v>
      </c>
      <c r="AD24" s="11" t="s">
        <v>106</v>
      </c>
      <c r="AE24" s="12" t="s">
        <v>107</v>
      </c>
      <c r="AF24" s="14">
        <f t="shared" si="0"/>
        <v>0.96343840000000003</v>
      </c>
      <c r="AG24" s="11" t="s">
        <v>108</v>
      </c>
    </row>
    <row r="25" spans="1:33" x14ac:dyDescent="0.2">
      <c r="A25" s="8">
        <v>6922</v>
      </c>
      <c r="B25" s="9" t="s">
        <v>101</v>
      </c>
      <c r="C25" s="10">
        <v>43402</v>
      </c>
      <c r="D25" s="11">
        <v>41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121</v>
      </c>
      <c r="J25" s="12" t="s">
        <v>122</v>
      </c>
      <c r="K25" s="13" t="s">
        <v>73</v>
      </c>
      <c r="L25" s="11" t="str">
        <f>"000015"</f>
        <v>000015</v>
      </c>
      <c r="M25" s="10">
        <v>43361</v>
      </c>
      <c r="N25" s="11" t="str">
        <f>"000032"</f>
        <v>000032</v>
      </c>
      <c r="O25" s="10">
        <v>43423</v>
      </c>
      <c r="P25" s="11" t="str">
        <f>"000030"</f>
        <v>000030</v>
      </c>
      <c r="Q25" s="10">
        <v>43424</v>
      </c>
      <c r="R25" s="11">
        <v>18</v>
      </c>
      <c r="S25" s="11" t="str">
        <f>"008417"</f>
        <v>008417</v>
      </c>
      <c r="T25" s="10">
        <v>43463</v>
      </c>
      <c r="U25" s="14">
        <v>148.33625000000001</v>
      </c>
      <c r="V25" s="14">
        <v>17.504239999999999</v>
      </c>
      <c r="W25" s="14">
        <v>130.83201</v>
      </c>
      <c r="X25" s="11">
        <v>252</v>
      </c>
      <c r="Y25" s="10">
        <v>43402</v>
      </c>
      <c r="Z25" s="11">
        <v>8050769142</v>
      </c>
      <c r="AA25" s="12" t="s">
        <v>118</v>
      </c>
      <c r="AB25" s="11" t="s">
        <v>104</v>
      </c>
      <c r="AC25" s="12" t="s">
        <v>105</v>
      </c>
      <c r="AD25" s="11" t="s">
        <v>106</v>
      </c>
      <c r="AE25" s="12" t="s">
        <v>107</v>
      </c>
      <c r="AF25" s="14">
        <f t="shared" si="0"/>
        <v>1.4833625000000001</v>
      </c>
      <c r="AG25" s="11" t="s">
        <v>108</v>
      </c>
    </row>
    <row r="26" spans="1:33" x14ac:dyDescent="0.2">
      <c r="A26" s="8">
        <v>6923</v>
      </c>
      <c r="B26" s="9" t="s">
        <v>101</v>
      </c>
      <c r="C26" s="10">
        <v>43402</v>
      </c>
      <c r="D26" s="11">
        <v>41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123</v>
      </c>
      <c r="J26" s="12" t="s">
        <v>124</v>
      </c>
      <c r="K26" s="13" t="s">
        <v>73</v>
      </c>
      <c r="L26" s="11" t="str">
        <f>"000023"</f>
        <v>000023</v>
      </c>
      <c r="M26" s="10">
        <v>43388</v>
      </c>
      <c r="N26" s="11" t="str">
        <f>"000019"</f>
        <v>000019</v>
      </c>
      <c r="O26" s="10">
        <v>43388</v>
      </c>
      <c r="P26" s="11" t="str">
        <f>"000019"</f>
        <v>000019</v>
      </c>
      <c r="Q26" s="10">
        <v>43389</v>
      </c>
      <c r="R26" s="11">
        <v>18</v>
      </c>
      <c r="S26" s="11" t="str">
        <f>"007086"</f>
        <v>007086</v>
      </c>
      <c r="T26" s="10">
        <v>43400</v>
      </c>
      <c r="U26" s="14">
        <v>96.470399999999998</v>
      </c>
      <c r="V26" s="14">
        <v>11.649749999999999</v>
      </c>
      <c r="W26" s="14">
        <v>84.820650000000001</v>
      </c>
      <c r="X26" s="11">
        <v>252</v>
      </c>
      <c r="Y26" s="10">
        <v>43402</v>
      </c>
      <c r="Z26" s="11">
        <v>9900339339</v>
      </c>
      <c r="AA26" s="12" t="s">
        <v>118</v>
      </c>
      <c r="AB26" s="11" t="s">
        <v>104</v>
      </c>
      <c r="AC26" s="12" t="s">
        <v>105</v>
      </c>
      <c r="AD26" s="11" t="s">
        <v>106</v>
      </c>
      <c r="AE26" s="12" t="s">
        <v>107</v>
      </c>
      <c r="AF26" s="14">
        <f t="shared" si="0"/>
        <v>0.96470400000000001</v>
      </c>
      <c r="AG26" s="11" t="s">
        <v>108</v>
      </c>
    </row>
    <row r="27" spans="1:33" x14ac:dyDescent="0.2">
      <c r="A27" s="8">
        <v>6979</v>
      </c>
      <c r="B27" s="9" t="s">
        <v>101</v>
      </c>
      <c r="C27" s="10">
        <v>43403</v>
      </c>
      <c r="D27" s="11">
        <v>41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125</v>
      </c>
      <c r="J27" s="12" t="s">
        <v>126</v>
      </c>
      <c r="K27" s="13" t="s">
        <v>40</v>
      </c>
      <c r="L27" s="11" t="str">
        <f>"000072"</f>
        <v>000072</v>
      </c>
      <c r="M27" s="10">
        <v>42629</v>
      </c>
      <c r="N27" s="11" t="str">
        <f>"000114"</f>
        <v>000114</v>
      </c>
      <c r="O27" s="10">
        <v>42674</v>
      </c>
      <c r="P27" s="11" t="str">
        <f>"000646"</f>
        <v>000646</v>
      </c>
      <c r="Q27" s="10">
        <v>42808</v>
      </c>
      <c r="R27" s="11">
        <v>15</v>
      </c>
      <c r="S27" s="11" t="str">
        <f>"006987"</f>
        <v>006987</v>
      </c>
      <c r="T27" s="10">
        <v>43400</v>
      </c>
      <c r="U27" s="14">
        <v>35</v>
      </c>
      <c r="V27" s="14">
        <v>4.6725000000000003</v>
      </c>
      <c r="W27" s="14">
        <v>30.327500000000001</v>
      </c>
      <c r="X27" s="11">
        <v>254</v>
      </c>
      <c r="Y27" s="10">
        <v>43403</v>
      </c>
      <c r="Z27" s="11">
        <v>9449219009</v>
      </c>
      <c r="AA27" s="12" t="s">
        <v>61</v>
      </c>
      <c r="AB27" s="11" t="s">
        <v>42</v>
      </c>
      <c r="AC27" s="12" t="s">
        <v>43</v>
      </c>
      <c r="AD27" s="11" t="s">
        <v>44</v>
      </c>
      <c r="AE27" s="12" t="s">
        <v>45</v>
      </c>
      <c r="AF27" s="14">
        <f t="shared" si="0"/>
        <v>0.35</v>
      </c>
      <c r="AG27" s="11" t="s">
        <v>46</v>
      </c>
    </row>
    <row r="28" spans="1:33" x14ac:dyDescent="0.2">
      <c r="A28" s="8">
        <v>7200</v>
      </c>
      <c r="B28" s="9" t="s">
        <v>127</v>
      </c>
      <c r="C28" s="10">
        <v>43420</v>
      </c>
      <c r="D28" s="11">
        <v>41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128</v>
      </c>
      <c r="J28" s="12" t="s">
        <v>129</v>
      </c>
      <c r="K28" s="13" t="s">
        <v>130</v>
      </c>
      <c r="L28" s="11" t="str">
        <f>"000308"</f>
        <v>000308</v>
      </c>
      <c r="M28" s="10">
        <v>43178</v>
      </c>
      <c r="N28" s="11" t="str">
        <f>"000029"</f>
        <v>000029</v>
      </c>
      <c r="O28" s="10">
        <v>43360</v>
      </c>
      <c r="P28" s="11" t="str">
        <f>"000208"</f>
        <v>000208</v>
      </c>
      <c r="Q28" s="10">
        <v>43389</v>
      </c>
      <c r="R28" s="11">
        <v>18</v>
      </c>
      <c r="S28" s="11" t="str">
        <f>"007347"</f>
        <v>007347</v>
      </c>
      <c r="T28" s="10">
        <v>43418</v>
      </c>
      <c r="U28" s="14">
        <v>14.997769999999999</v>
      </c>
      <c r="V28" s="14">
        <v>1.58291</v>
      </c>
      <c r="W28" s="14">
        <v>13.414859999999999</v>
      </c>
      <c r="X28" s="11">
        <v>265</v>
      </c>
      <c r="Y28" s="10">
        <v>43420</v>
      </c>
      <c r="Z28" s="11">
        <v>9449219009</v>
      </c>
      <c r="AA28" s="12" t="s">
        <v>61</v>
      </c>
      <c r="AB28" s="11" t="s">
        <v>131</v>
      </c>
      <c r="AC28" s="12" t="s">
        <v>132</v>
      </c>
      <c r="AD28" s="11" t="s">
        <v>44</v>
      </c>
      <c r="AE28" s="12" t="s">
        <v>45</v>
      </c>
      <c r="AF28" s="14">
        <f t="shared" si="0"/>
        <v>0.14997769999999999</v>
      </c>
      <c r="AG28" s="11" t="s">
        <v>57</v>
      </c>
    </row>
    <row r="29" spans="1:33" x14ac:dyDescent="0.2">
      <c r="A29" s="8">
        <v>7201</v>
      </c>
      <c r="B29" s="9" t="s">
        <v>127</v>
      </c>
      <c r="C29" s="10">
        <v>43420</v>
      </c>
      <c r="D29" s="11">
        <v>41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133</v>
      </c>
      <c r="J29" s="12" t="s">
        <v>134</v>
      </c>
      <c r="K29" s="13" t="s">
        <v>40</v>
      </c>
      <c r="L29" s="11" t="str">
        <f>"000309"</f>
        <v>000309</v>
      </c>
      <c r="M29" s="10">
        <v>43178</v>
      </c>
      <c r="N29" s="11" t="str">
        <f>"000027"</f>
        <v>000027</v>
      </c>
      <c r="O29" s="10">
        <v>43360</v>
      </c>
      <c r="P29" s="11" t="str">
        <f>"000209"</f>
        <v>000209</v>
      </c>
      <c r="Q29" s="10">
        <v>43389</v>
      </c>
      <c r="R29" s="11">
        <v>18</v>
      </c>
      <c r="S29" s="11" t="str">
        <f>"007348"</f>
        <v>007348</v>
      </c>
      <c r="T29" s="10">
        <v>43418</v>
      </c>
      <c r="U29" s="14">
        <v>14.99892</v>
      </c>
      <c r="V29" s="14">
        <v>1.6430899999999999</v>
      </c>
      <c r="W29" s="14">
        <v>13.355829999999999</v>
      </c>
      <c r="X29" s="11">
        <v>265</v>
      </c>
      <c r="Y29" s="10">
        <v>43420</v>
      </c>
      <c r="Z29" s="11">
        <v>9449219909</v>
      </c>
      <c r="AA29" s="12" t="s">
        <v>61</v>
      </c>
      <c r="AB29" s="11" t="s">
        <v>135</v>
      </c>
      <c r="AC29" s="12" t="s">
        <v>136</v>
      </c>
      <c r="AD29" s="11" t="s">
        <v>44</v>
      </c>
      <c r="AE29" s="12" t="s">
        <v>45</v>
      </c>
      <c r="AF29" s="14">
        <f t="shared" si="0"/>
        <v>0.14998919999999999</v>
      </c>
      <c r="AG29" s="11" t="s">
        <v>57</v>
      </c>
    </row>
    <row r="30" spans="1:33" x14ac:dyDescent="0.2">
      <c r="A30" s="8">
        <v>7202</v>
      </c>
      <c r="B30" s="9" t="s">
        <v>127</v>
      </c>
      <c r="C30" s="10">
        <v>43420</v>
      </c>
      <c r="D30" s="11">
        <v>41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137</v>
      </c>
      <c r="J30" s="12" t="s">
        <v>138</v>
      </c>
      <c r="K30" s="13" t="s">
        <v>139</v>
      </c>
      <c r="L30" s="11" t="str">
        <f>"000306"</f>
        <v>000306</v>
      </c>
      <c r="M30" s="10">
        <v>43178</v>
      </c>
      <c r="N30" s="11" t="str">
        <f>"000028"</f>
        <v>000028</v>
      </c>
      <c r="O30" s="10">
        <v>43360</v>
      </c>
      <c r="P30" s="11" t="str">
        <f>"000210"</f>
        <v>000210</v>
      </c>
      <c r="Q30" s="10">
        <v>43389</v>
      </c>
      <c r="R30" s="11">
        <v>18</v>
      </c>
      <c r="S30" s="11" t="str">
        <f>"007349"</f>
        <v>007349</v>
      </c>
      <c r="T30" s="10">
        <v>43418</v>
      </c>
      <c r="U30" s="14">
        <v>4.99892</v>
      </c>
      <c r="V30" s="14">
        <v>0.5131</v>
      </c>
      <c r="W30" s="14">
        <v>4.4858200000000004</v>
      </c>
      <c r="X30" s="11">
        <v>265</v>
      </c>
      <c r="Y30" s="10">
        <v>43420</v>
      </c>
      <c r="Z30" s="11">
        <v>9449219909</v>
      </c>
      <c r="AA30" s="12" t="s">
        <v>61</v>
      </c>
      <c r="AB30" s="11" t="s">
        <v>140</v>
      </c>
      <c r="AC30" s="12" t="s">
        <v>141</v>
      </c>
      <c r="AD30" s="11" t="s">
        <v>44</v>
      </c>
      <c r="AE30" s="12" t="s">
        <v>45</v>
      </c>
      <c r="AF30" s="14">
        <f t="shared" si="0"/>
        <v>4.9989199999999998E-2</v>
      </c>
      <c r="AG30" s="11" t="s">
        <v>57</v>
      </c>
    </row>
    <row r="31" spans="1:33" x14ac:dyDescent="0.2">
      <c r="A31" s="8">
        <v>7203</v>
      </c>
      <c r="B31" s="9" t="s">
        <v>127</v>
      </c>
      <c r="C31" s="10">
        <v>43420</v>
      </c>
      <c r="D31" s="11">
        <v>41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142</v>
      </c>
      <c r="J31" s="12" t="s">
        <v>143</v>
      </c>
      <c r="K31" s="13" t="s">
        <v>144</v>
      </c>
      <c r="L31" s="11" t="str">
        <f>"000307"</f>
        <v>000307</v>
      </c>
      <c r="M31" s="10">
        <v>43178</v>
      </c>
      <c r="N31" s="11" t="str">
        <f>"000030"</f>
        <v>000030</v>
      </c>
      <c r="O31" s="10">
        <v>43360</v>
      </c>
      <c r="P31" s="11" t="str">
        <f>"000211"</f>
        <v>000211</v>
      </c>
      <c r="Q31" s="10">
        <v>43389</v>
      </c>
      <c r="R31" s="11">
        <v>18</v>
      </c>
      <c r="S31" s="11" t="str">
        <f>"007350"</f>
        <v>007350</v>
      </c>
      <c r="T31" s="10">
        <v>43418</v>
      </c>
      <c r="U31" s="14">
        <v>19.999379999999999</v>
      </c>
      <c r="V31" s="14">
        <v>2.0491100000000002</v>
      </c>
      <c r="W31" s="14">
        <v>17.95027</v>
      </c>
      <c r="X31" s="11">
        <v>265</v>
      </c>
      <c r="Y31" s="10">
        <v>43420</v>
      </c>
      <c r="Z31" s="11">
        <v>9449219009</v>
      </c>
      <c r="AA31" s="12" t="s">
        <v>61</v>
      </c>
      <c r="AB31" s="11" t="s">
        <v>145</v>
      </c>
      <c r="AC31" s="12" t="s">
        <v>146</v>
      </c>
      <c r="AD31" s="11" t="s">
        <v>44</v>
      </c>
      <c r="AE31" s="12" t="s">
        <v>45</v>
      </c>
      <c r="AF31" s="14">
        <f t="shared" si="0"/>
        <v>0.1999938</v>
      </c>
      <c r="AG31" s="11" t="s">
        <v>57</v>
      </c>
    </row>
    <row r="32" spans="1:33" x14ac:dyDescent="0.2">
      <c r="A32" s="8">
        <v>7204</v>
      </c>
      <c r="B32" s="9" t="s">
        <v>127</v>
      </c>
      <c r="C32" s="10">
        <v>43420</v>
      </c>
      <c r="D32" s="11">
        <v>41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147</v>
      </c>
      <c r="J32" s="12" t="s">
        <v>148</v>
      </c>
      <c r="K32" s="13" t="s">
        <v>149</v>
      </c>
      <c r="L32" s="11" t="str">
        <f>"000312"</f>
        <v>000312</v>
      </c>
      <c r="M32" s="10">
        <v>43178</v>
      </c>
      <c r="N32" s="11" t="str">
        <f>"000026"</f>
        <v>000026</v>
      </c>
      <c r="O32" s="10">
        <v>43360</v>
      </c>
      <c r="P32" s="11" t="str">
        <f>"000212"</f>
        <v>000212</v>
      </c>
      <c r="Q32" s="10">
        <v>43389</v>
      </c>
      <c r="R32" s="11">
        <v>18</v>
      </c>
      <c r="S32" s="11" t="str">
        <f>"007351"</f>
        <v>007351</v>
      </c>
      <c r="T32" s="10">
        <v>43418</v>
      </c>
      <c r="U32" s="14">
        <v>9.9860500000000005</v>
      </c>
      <c r="V32" s="14">
        <v>1.0366899999999999</v>
      </c>
      <c r="W32" s="14">
        <v>8.9493600000000004</v>
      </c>
      <c r="X32" s="11">
        <v>265</v>
      </c>
      <c r="Y32" s="10">
        <v>43420</v>
      </c>
      <c r="Z32" s="11">
        <v>9449219009</v>
      </c>
      <c r="AA32" s="12" t="s">
        <v>61</v>
      </c>
      <c r="AB32" s="11" t="s">
        <v>150</v>
      </c>
      <c r="AC32" s="12" t="s">
        <v>151</v>
      </c>
      <c r="AD32" s="11" t="s">
        <v>44</v>
      </c>
      <c r="AE32" s="12" t="s">
        <v>45</v>
      </c>
      <c r="AF32" s="14">
        <f t="shared" si="0"/>
        <v>9.9860500000000005E-2</v>
      </c>
      <c r="AG32" s="11" t="s">
        <v>57</v>
      </c>
    </row>
    <row r="33" spans="1:33" x14ac:dyDescent="0.2">
      <c r="A33" s="8">
        <v>7205</v>
      </c>
      <c r="B33" s="9" t="s">
        <v>127</v>
      </c>
      <c r="C33" s="10">
        <v>43420</v>
      </c>
      <c r="D33" s="11">
        <v>41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152</v>
      </c>
      <c r="J33" s="12" t="s">
        <v>153</v>
      </c>
      <c r="K33" s="13" t="s">
        <v>40</v>
      </c>
      <c r="L33" s="11" t="str">
        <f>"000033"</f>
        <v>000033</v>
      </c>
      <c r="M33" s="10">
        <v>42844</v>
      </c>
      <c r="N33" s="11" t="str">
        <f>"000006"</f>
        <v>000006</v>
      </c>
      <c r="O33" s="10">
        <v>42870</v>
      </c>
      <c r="P33" s="11" t="str">
        <f>"000054"</f>
        <v>000054</v>
      </c>
      <c r="Q33" s="10">
        <v>42885</v>
      </c>
      <c r="R33" s="11">
        <v>17</v>
      </c>
      <c r="S33" s="11" t="str">
        <f>"007282"</f>
        <v>007282</v>
      </c>
      <c r="T33" s="10">
        <v>43407</v>
      </c>
      <c r="U33" s="14">
        <v>17.316780000000001</v>
      </c>
      <c r="V33" s="14">
        <v>1.27983</v>
      </c>
      <c r="W33" s="14">
        <v>16.036950000000001</v>
      </c>
      <c r="X33" s="11">
        <v>266</v>
      </c>
      <c r="Y33" s="10">
        <v>43420</v>
      </c>
      <c r="Z33" s="11">
        <v>9845187283</v>
      </c>
      <c r="AA33" s="12" t="s">
        <v>154</v>
      </c>
      <c r="AB33" s="11" t="s">
        <v>42</v>
      </c>
      <c r="AC33" s="12" t="s">
        <v>43</v>
      </c>
      <c r="AD33" s="11" t="s">
        <v>44</v>
      </c>
      <c r="AE33" s="12" t="s">
        <v>45</v>
      </c>
      <c r="AF33" s="14">
        <f t="shared" si="0"/>
        <v>0.17316780000000001</v>
      </c>
      <c r="AG33" s="11" t="s">
        <v>46</v>
      </c>
    </row>
    <row r="34" spans="1:33" x14ac:dyDescent="0.2">
      <c r="A34" s="8">
        <v>7493</v>
      </c>
      <c r="B34" s="9" t="s">
        <v>155</v>
      </c>
      <c r="C34" s="10">
        <v>43437</v>
      </c>
      <c r="D34" s="11">
        <v>41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156</v>
      </c>
      <c r="J34" s="12" t="s">
        <v>157</v>
      </c>
      <c r="K34" s="13" t="s">
        <v>73</v>
      </c>
      <c r="L34" s="11" t="str">
        <f>"000123"</f>
        <v>000123</v>
      </c>
      <c r="M34" s="10">
        <v>42763</v>
      </c>
      <c r="N34" s="11" t="str">
        <f>"000041"</f>
        <v>000041</v>
      </c>
      <c r="O34" s="10">
        <v>42849</v>
      </c>
      <c r="P34" s="11" t="str">
        <f>"000079"</f>
        <v>000079</v>
      </c>
      <c r="Q34" s="10">
        <v>42886</v>
      </c>
      <c r="R34" s="11">
        <v>16</v>
      </c>
      <c r="S34" s="11" t="str">
        <f>"007449"</f>
        <v>007449</v>
      </c>
      <c r="T34" s="10">
        <v>43421</v>
      </c>
      <c r="U34" s="14">
        <v>90.927999999999997</v>
      </c>
      <c r="V34" s="14">
        <v>6.6831899999999997</v>
      </c>
      <c r="W34" s="14">
        <v>84.244810000000001</v>
      </c>
      <c r="X34" s="11">
        <v>279</v>
      </c>
      <c r="Y34" s="10">
        <v>43437</v>
      </c>
      <c r="Z34" s="11">
        <v>9448512985</v>
      </c>
      <c r="AA34" s="12" t="s">
        <v>158</v>
      </c>
      <c r="AB34" s="11" t="s">
        <v>42</v>
      </c>
      <c r="AC34" s="12" t="s">
        <v>43</v>
      </c>
      <c r="AD34" s="11" t="s">
        <v>82</v>
      </c>
      <c r="AE34" s="12" t="s">
        <v>83</v>
      </c>
      <c r="AF34" s="14">
        <f t="shared" si="0"/>
        <v>0.90927999999999998</v>
      </c>
      <c r="AG34" s="11" t="s">
        <v>46</v>
      </c>
    </row>
    <row r="35" spans="1:33" x14ac:dyDescent="0.2">
      <c r="A35" s="8">
        <v>8129</v>
      </c>
      <c r="B35" s="9" t="s">
        <v>159</v>
      </c>
      <c r="C35" s="10">
        <v>43466</v>
      </c>
      <c r="D35" s="11">
        <v>41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160</v>
      </c>
      <c r="J35" s="12" t="s">
        <v>161</v>
      </c>
      <c r="K35" s="13" t="s">
        <v>73</v>
      </c>
      <c r="L35" s="11" t="str">
        <f>"000027"</f>
        <v>000027</v>
      </c>
      <c r="M35" s="10">
        <v>43398</v>
      </c>
      <c r="N35" s="11" t="str">
        <f>"000026"</f>
        <v>000026</v>
      </c>
      <c r="O35" s="10">
        <v>43398</v>
      </c>
      <c r="P35" s="11" t="str">
        <f>"000025"</f>
        <v>000025</v>
      </c>
      <c r="Q35" s="10">
        <v>43398</v>
      </c>
      <c r="R35" s="11"/>
      <c r="S35" s="11" t="str">
        <f>"008273"</f>
        <v>008273</v>
      </c>
      <c r="T35" s="10">
        <v>43461</v>
      </c>
      <c r="U35" s="14">
        <v>144.76158000000001</v>
      </c>
      <c r="V35" s="14">
        <v>17.115469999999998</v>
      </c>
      <c r="W35" s="14">
        <v>127.64610999999999</v>
      </c>
      <c r="X35" s="11">
        <v>308</v>
      </c>
      <c r="Y35" s="10">
        <v>43466</v>
      </c>
      <c r="Z35" s="11">
        <v>9663511188</v>
      </c>
      <c r="AA35" s="12" t="s">
        <v>118</v>
      </c>
      <c r="AB35" s="11" t="s">
        <v>104</v>
      </c>
      <c r="AC35" s="12" t="s">
        <v>105</v>
      </c>
      <c r="AD35" s="11" t="s">
        <v>106</v>
      </c>
      <c r="AE35" s="12" t="s">
        <v>107</v>
      </c>
      <c r="AF35" s="14">
        <f t="shared" si="0"/>
        <v>1.4476158000000001</v>
      </c>
      <c r="AG35" s="11" t="s">
        <v>108</v>
      </c>
    </row>
    <row r="36" spans="1:33" x14ac:dyDescent="0.2">
      <c r="A36" s="8">
        <v>8132</v>
      </c>
      <c r="B36" s="9" t="s">
        <v>159</v>
      </c>
      <c r="C36" s="10">
        <v>43466</v>
      </c>
      <c r="D36" s="11">
        <v>41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162</v>
      </c>
      <c r="J36" s="12" t="s">
        <v>163</v>
      </c>
      <c r="K36" s="13" t="s">
        <v>73</v>
      </c>
      <c r="L36" s="11" t="str">
        <f>"000028"</f>
        <v>000028</v>
      </c>
      <c r="M36" s="10">
        <v>43398</v>
      </c>
      <c r="N36" s="11" t="str">
        <f>"000027"</f>
        <v>000027</v>
      </c>
      <c r="O36" s="10">
        <v>43398</v>
      </c>
      <c r="P36" s="11" t="str">
        <f>"000026"</f>
        <v>000026</v>
      </c>
      <c r="Q36" s="10">
        <v>43398</v>
      </c>
      <c r="R36" s="11"/>
      <c r="S36" s="11" t="str">
        <f>"008277"</f>
        <v>008277</v>
      </c>
      <c r="T36" s="10">
        <v>43461</v>
      </c>
      <c r="U36" s="14">
        <v>78.712440000000001</v>
      </c>
      <c r="V36" s="14">
        <v>9.1817499999999992</v>
      </c>
      <c r="W36" s="14">
        <v>69.530690000000007</v>
      </c>
      <c r="X36" s="11">
        <v>308</v>
      </c>
      <c r="Y36" s="10">
        <v>43466</v>
      </c>
      <c r="Z36" s="11">
        <v>9900548981</v>
      </c>
      <c r="AA36" s="12" t="s">
        <v>118</v>
      </c>
      <c r="AB36" s="11" t="s">
        <v>104</v>
      </c>
      <c r="AC36" s="12" t="s">
        <v>105</v>
      </c>
      <c r="AD36" s="11" t="s">
        <v>106</v>
      </c>
      <c r="AE36" s="12" t="s">
        <v>107</v>
      </c>
      <c r="AF36" s="14">
        <f t="shared" si="0"/>
        <v>0.78712440000000006</v>
      </c>
      <c r="AG36" s="11" t="s">
        <v>108</v>
      </c>
    </row>
    <row r="37" spans="1:33" x14ac:dyDescent="0.2">
      <c r="A37" s="8">
        <v>8170</v>
      </c>
      <c r="B37" s="9" t="s">
        <v>159</v>
      </c>
      <c r="C37" s="10">
        <v>43466</v>
      </c>
      <c r="D37" s="11">
        <v>41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164</v>
      </c>
      <c r="J37" s="12" t="s">
        <v>165</v>
      </c>
      <c r="K37" s="13" t="s">
        <v>98</v>
      </c>
      <c r="L37" s="11" t="str">
        <f>"000029"</f>
        <v>000029</v>
      </c>
      <c r="M37" s="10">
        <v>43403</v>
      </c>
      <c r="N37" s="11" t="str">
        <f>"000028"</f>
        <v>000028</v>
      </c>
      <c r="O37" s="10">
        <v>43403</v>
      </c>
      <c r="P37" s="11" t="str">
        <f>"000027"</f>
        <v>000027</v>
      </c>
      <c r="Q37" s="10">
        <v>43404</v>
      </c>
      <c r="R37" s="11"/>
      <c r="S37" s="11" t="str">
        <f>"008318"</f>
        <v>008318</v>
      </c>
      <c r="T37" s="10">
        <v>43461</v>
      </c>
      <c r="U37" s="14">
        <v>71.736450000000005</v>
      </c>
      <c r="V37" s="14">
        <v>7.7146600000000003</v>
      </c>
      <c r="W37" s="14">
        <v>64.021789999999996</v>
      </c>
      <c r="X37" s="11">
        <v>308</v>
      </c>
      <c r="Y37" s="10">
        <v>43466</v>
      </c>
      <c r="Z37" s="11">
        <v>9535322144</v>
      </c>
      <c r="AA37" s="12" t="s">
        <v>166</v>
      </c>
      <c r="AB37" s="11" t="s">
        <v>104</v>
      </c>
      <c r="AC37" s="12" t="s">
        <v>105</v>
      </c>
      <c r="AD37" s="11" t="s">
        <v>106</v>
      </c>
      <c r="AE37" s="12" t="s">
        <v>107</v>
      </c>
      <c r="AF37" s="14">
        <f t="shared" si="0"/>
        <v>0.71736450000000007</v>
      </c>
      <c r="AG37" s="11" t="s">
        <v>108</v>
      </c>
    </row>
    <row r="38" spans="1:33" x14ac:dyDescent="0.2">
      <c r="A38" s="8">
        <v>8267</v>
      </c>
      <c r="B38" s="9" t="s">
        <v>159</v>
      </c>
      <c r="C38" s="10">
        <v>43466</v>
      </c>
      <c r="D38" s="11">
        <v>41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121</v>
      </c>
      <c r="J38" s="12" t="s">
        <v>122</v>
      </c>
      <c r="K38" s="13" t="s">
        <v>73</v>
      </c>
      <c r="L38" s="11" t="str">
        <f>"000015"</f>
        <v>000015</v>
      </c>
      <c r="M38" s="10">
        <v>43361</v>
      </c>
      <c r="N38" s="11" t="str">
        <f>"000032"</f>
        <v>000032</v>
      </c>
      <c r="O38" s="10">
        <v>43423</v>
      </c>
      <c r="P38" s="11" t="str">
        <f>"000030"</f>
        <v>000030</v>
      </c>
      <c r="Q38" s="10">
        <v>43424</v>
      </c>
      <c r="R38" s="11"/>
      <c r="S38" s="11" t="str">
        <f>"008417"</f>
        <v>008417</v>
      </c>
      <c r="T38" s="10">
        <v>43463</v>
      </c>
      <c r="U38" s="14">
        <v>4.9800000000000004</v>
      </c>
      <c r="V38" s="14">
        <v>0.59760000000000002</v>
      </c>
      <c r="W38" s="14">
        <v>4.3823999999999996</v>
      </c>
      <c r="X38" s="11">
        <v>309</v>
      </c>
      <c r="Y38" s="10">
        <v>43466</v>
      </c>
      <c r="Z38" s="11">
        <v>8792620231</v>
      </c>
      <c r="AA38" s="12" t="s">
        <v>167</v>
      </c>
      <c r="AB38" s="11" t="s">
        <v>104</v>
      </c>
      <c r="AC38" s="12" t="s">
        <v>105</v>
      </c>
      <c r="AD38" s="11" t="s">
        <v>106</v>
      </c>
      <c r="AE38" s="12" t="s">
        <v>107</v>
      </c>
      <c r="AF38" s="14">
        <f t="shared" si="0"/>
        <v>4.9800000000000004E-2</v>
      </c>
      <c r="AG38" s="11" t="s">
        <v>108</v>
      </c>
    </row>
    <row r="39" spans="1:33" x14ac:dyDescent="0.2">
      <c r="A39" s="8">
        <v>8270</v>
      </c>
      <c r="B39" s="9" t="s">
        <v>159</v>
      </c>
      <c r="C39" s="10">
        <v>43466</v>
      </c>
      <c r="D39" s="11">
        <v>41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113</v>
      </c>
      <c r="J39" s="12" t="s">
        <v>114</v>
      </c>
      <c r="K39" s="13" t="s">
        <v>98</v>
      </c>
      <c r="L39" s="11" t="str">
        <f>"000013"</f>
        <v>000013</v>
      </c>
      <c r="M39" s="10">
        <v>43357</v>
      </c>
      <c r="N39" s="11" t="str">
        <f>"000046"</f>
        <v>000046</v>
      </c>
      <c r="O39" s="10">
        <v>43504</v>
      </c>
      <c r="P39" s="11" t="str">
        <f>"000045"</f>
        <v>000045</v>
      </c>
      <c r="Q39" s="10">
        <v>43511</v>
      </c>
      <c r="R39" s="11"/>
      <c r="S39" s="11" t="str">
        <f>""</f>
        <v/>
      </c>
      <c r="T39" s="10"/>
      <c r="U39" s="14">
        <v>4.92</v>
      </c>
      <c r="V39" s="14">
        <v>0.59040000000000004</v>
      </c>
      <c r="W39" s="14">
        <v>4.3296000000000001</v>
      </c>
      <c r="X39" s="11">
        <v>309</v>
      </c>
      <c r="Y39" s="10">
        <v>43466</v>
      </c>
      <c r="Z39" s="11">
        <v>9900161466</v>
      </c>
      <c r="AA39" s="12" t="s">
        <v>168</v>
      </c>
      <c r="AB39" s="11" t="s">
        <v>104</v>
      </c>
      <c r="AC39" s="12" t="s">
        <v>105</v>
      </c>
      <c r="AD39" s="11" t="s">
        <v>106</v>
      </c>
      <c r="AE39" s="12" t="s">
        <v>107</v>
      </c>
      <c r="AF39" s="14">
        <f t="shared" si="0"/>
        <v>4.9200000000000001E-2</v>
      </c>
      <c r="AG39" s="11" t="s">
        <v>108</v>
      </c>
    </row>
    <row r="40" spans="1:33" x14ac:dyDescent="0.2">
      <c r="A40" s="8">
        <v>8558</v>
      </c>
      <c r="B40" s="9" t="s">
        <v>159</v>
      </c>
      <c r="C40" s="10">
        <v>43475</v>
      </c>
      <c r="D40" s="11">
        <v>41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169</v>
      </c>
      <c r="J40" s="12" t="s">
        <v>170</v>
      </c>
      <c r="K40" s="13" t="s">
        <v>73</v>
      </c>
      <c r="L40" s="11" t="str">
        <f>"000036"</f>
        <v>000036</v>
      </c>
      <c r="M40" s="10">
        <v>42844</v>
      </c>
      <c r="N40" s="11" t="str">
        <f>"000005"</f>
        <v>000005</v>
      </c>
      <c r="O40" s="10">
        <v>42891</v>
      </c>
      <c r="P40" s="11" t="str">
        <f>"000097"</f>
        <v>000097</v>
      </c>
      <c r="Q40" s="10">
        <v>42892</v>
      </c>
      <c r="R40" s="11"/>
      <c r="S40" s="11" t="str">
        <f>"008217"</f>
        <v>008217</v>
      </c>
      <c r="T40" s="10">
        <v>43455</v>
      </c>
      <c r="U40" s="14">
        <v>48.762709999999998</v>
      </c>
      <c r="V40" s="14">
        <v>6.5098099999999999</v>
      </c>
      <c r="W40" s="14">
        <v>42.252899999999997</v>
      </c>
      <c r="X40" s="11">
        <v>321</v>
      </c>
      <c r="Y40" s="10">
        <v>43475</v>
      </c>
      <c r="Z40" s="11">
        <v>9449219009</v>
      </c>
      <c r="AA40" s="12" t="s">
        <v>61</v>
      </c>
      <c r="AB40" s="11" t="s">
        <v>78</v>
      </c>
      <c r="AC40" s="12" t="s">
        <v>79</v>
      </c>
      <c r="AD40" s="11" t="s">
        <v>44</v>
      </c>
      <c r="AE40" s="12" t="s">
        <v>45</v>
      </c>
      <c r="AF40" s="14">
        <f t="shared" si="0"/>
        <v>0.48762709999999998</v>
      </c>
      <c r="AG40" s="11" t="s">
        <v>46</v>
      </c>
    </row>
    <row r="41" spans="1:33" x14ac:dyDescent="0.2">
      <c r="A41" s="8">
        <v>8606</v>
      </c>
      <c r="B41" s="9" t="s">
        <v>159</v>
      </c>
      <c r="C41" s="10">
        <v>43481</v>
      </c>
      <c r="D41" s="11">
        <v>41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171</v>
      </c>
      <c r="J41" s="12" t="s">
        <v>172</v>
      </c>
      <c r="K41" s="13" t="s">
        <v>173</v>
      </c>
      <c r="L41" s="11" t="str">
        <f>"000305"</f>
        <v>000305</v>
      </c>
      <c r="M41" s="10">
        <v>43178</v>
      </c>
      <c r="N41" s="11" t="str">
        <f>"000037"</f>
        <v>000037</v>
      </c>
      <c r="O41" s="10">
        <v>43417</v>
      </c>
      <c r="P41" s="11" t="str">
        <f>"000251"</f>
        <v>000251</v>
      </c>
      <c r="Q41" s="10">
        <v>43452</v>
      </c>
      <c r="R41" s="11"/>
      <c r="S41" s="11" t="str">
        <f>"008718"</f>
        <v>008718</v>
      </c>
      <c r="T41" s="10">
        <v>43477</v>
      </c>
      <c r="U41" s="14">
        <v>14.99621</v>
      </c>
      <c r="V41" s="14">
        <v>1.4923500000000001</v>
      </c>
      <c r="W41" s="14">
        <v>13.50386</v>
      </c>
      <c r="X41" s="11">
        <v>324</v>
      </c>
      <c r="Y41" s="10">
        <v>43481</v>
      </c>
      <c r="Z41" s="11">
        <v>9449219009</v>
      </c>
      <c r="AA41" s="12" t="s">
        <v>61</v>
      </c>
      <c r="AB41" s="11" t="s">
        <v>174</v>
      </c>
      <c r="AC41" s="12" t="s">
        <v>175</v>
      </c>
      <c r="AD41" s="11" t="s">
        <v>44</v>
      </c>
      <c r="AE41" s="12" t="s">
        <v>45</v>
      </c>
      <c r="AF41" s="14">
        <f t="shared" si="0"/>
        <v>0.14996209999999999</v>
      </c>
      <c r="AG41" s="11" t="s">
        <v>57</v>
      </c>
    </row>
    <row r="42" spans="1:33" x14ac:dyDescent="0.2">
      <c r="A42" s="8">
        <v>8607</v>
      </c>
      <c r="B42" s="9" t="s">
        <v>159</v>
      </c>
      <c r="C42" s="10">
        <v>43481</v>
      </c>
      <c r="D42" s="11">
        <v>41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176</v>
      </c>
      <c r="J42" s="12" t="s">
        <v>177</v>
      </c>
      <c r="K42" s="13" t="s">
        <v>173</v>
      </c>
      <c r="L42" s="11" t="str">
        <f>"000310"</f>
        <v>000310</v>
      </c>
      <c r="M42" s="10">
        <v>43178</v>
      </c>
      <c r="N42" s="11" t="str">
        <f>"000038"</f>
        <v>000038</v>
      </c>
      <c r="O42" s="10">
        <v>43417</v>
      </c>
      <c r="P42" s="11" t="str">
        <f>"000252"</f>
        <v>000252</v>
      </c>
      <c r="Q42" s="10">
        <v>43452</v>
      </c>
      <c r="R42" s="11"/>
      <c r="S42" s="11" t="str">
        <f>"008719"</f>
        <v>008719</v>
      </c>
      <c r="T42" s="10">
        <v>43477</v>
      </c>
      <c r="U42" s="14">
        <v>4.9962099999999996</v>
      </c>
      <c r="V42" s="14">
        <v>0.53100999999999998</v>
      </c>
      <c r="W42" s="14">
        <v>4.4652000000000003</v>
      </c>
      <c r="X42" s="11">
        <v>324</v>
      </c>
      <c r="Y42" s="10">
        <v>43481</v>
      </c>
      <c r="Z42" s="11">
        <v>9449219009</v>
      </c>
      <c r="AA42" s="12" t="s">
        <v>61</v>
      </c>
      <c r="AB42" s="11" t="s">
        <v>178</v>
      </c>
      <c r="AC42" s="12" t="s">
        <v>179</v>
      </c>
      <c r="AD42" s="11" t="s">
        <v>44</v>
      </c>
      <c r="AE42" s="12" t="s">
        <v>45</v>
      </c>
      <c r="AF42" s="14">
        <f t="shared" si="0"/>
        <v>4.9962099999999995E-2</v>
      </c>
      <c r="AG42" s="11" t="s">
        <v>57</v>
      </c>
    </row>
    <row r="43" spans="1:33" x14ac:dyDescent="0.2">
      <c r="A43" s="8">
        <v>8608</v>
      </c>
      <c r="B43" s="9" t="s">
        <v>159</v>
      </c>
      <c r="C43" s="10">
        <v>43481</v>
      </c>
      <c r="D43" s="11">
        <v>41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180</v>
      </c>
      <c r="J43" s="12" t="s">
        <v>181</v>
      </c>
      <c r="K43" s="13" t="s">
        <v>182</v>
      </c>
      <c r="L43" s="11" t="str">
        <f>"000311"</f>
        <v>000311</v>
      </c>
      <c r="M43" s="10">
        <v>43178</v>
      </c>
      <c r="N43" s="11" t="str">
        <f>"000039"</f>
        <v>000039</v>
      </c>
      <c r="O43" s="10">
        <v>43417</v>
      </c>
      <c r="P43" s="11" t="str">
        <f>"000253"</f>
        <v>000253</v>
      </c>
      <c r="Q43" s="10">
        <v>43452</v>
      </c>
      <c r="R43" s="11"/>
      <c r="S43" s="11" t="str">
        <f>"008720"</f>
        <v>008720</v>
      </c>
      <c r="T43" s="10">
        <v>43477</v>
      </c>
      <c r="U43" s="14">
        <v>4.9995700000000003</v>
      </c>
      <c r="V43" s="14">
        <v>0.51236999999999999</v>
      </c>
      <c r="W43" s="14">
        <v>4.4871999999999996</v>
      </c>
      <c r="X43" s="11">
        <v>324</v>
      </c>
      <c r="Y43" s="10">
        <v>43481</v>
      </c>
      <c r="Z43" s="11">
        <v>9449219009</v>
      </c>
      <c r="AA43" s="12" t="s">
        <v>61</v>
      </c>
      <c r="AB43" s="11" t="s">
        <v>183</v>
      </c>
      <c r="AC43" s="12" t="s">
        <v>184</v>
      </c>
      <c r="AD43" s="11" t="s">
        <v>44</v>
      </c>
      <c r="AE43" s="12" t="s">
        <v>45</v>
      </c>
      <c r="AF43" s="14">
        <f t="shared" si="0"/>
        <v>4.9995700000000004E-2</v>
      </c>
      <c r="AG43" s="11" t="s">
        <v>57</v>
      </c>
    </row>
    <row r="44" spans="1:33" x14ac:dyDescent="0.2">
      <c r="A44" s="8">
        <v>9113</v>
      </c>
      <c r="B44" s="9" t="s">
        <v>185</v>
      </c>
      <c r="C44" s="10">
        <v>43508</v>
      </c>
      <c r="D44" s="11">
        <v>41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186</v>
      </c>
      <c r="J44" s="12" t="s">
        <v>187</v>
      </c>
      <c r="K44" s="13" t="s">
        <v>40</v>
      </c>
      <c r="L44" s="11" t="str">
        <f>"000034"</f>
        <v>000034</v>
      </c>
      <c r="M44" s="10">
        <v>42844</v>
      </c>
      <c r="N44" s="11" t="str">
        <f>"000012"</f>
        <v>000012</v>
      </c>
      <c r="O44" s="10">
        <v>42905</v>
      </c>
      <c r="P44" s="11" t="str">
        <f>"000098"</f>
        <v>000098</v>
      </c>
      <c r="Q44" s="10">
        <v>42906</v>
      </c>
      <c r="R44" s="11"/>
      <c r="S44" s="11" t="str">
        <f>"009139"</f>
        <v>009139</v>
      </c>
      <c r="T44" s="10">
        <v>43503</v>
      </c>
      <c r="U44" s="14">
        <v>46.172719999999998</v>
      </c>
      <c r="V44" s="14">
        <v>3.3057400000000001</v>
      </c>
      <c r="W44" s="14">
        <v>42.866979999999998</v>
      </c>
      <c r="X44" s="11">
        <v>349</v>
      </c>
      <c r="Y44" s="10">
        <v>43508</v>
      </c>
      <c r="Z44" s="11">
        <v>9845460033</v>
      </c>
      <c r="AA44" s="12" t="s">
        <v>188</v>
      </c>
      <c r="AB44" s="11" t="s">
        <v>42</v>
      </c>
      <c r="AC44" s="12" t="s">
        <v>43</v>
      </c>
      <c r="AD44" s="11" t="s">
        <v>44</v>
      </c>
      <c r="AE44" s="12" t="s">
        <v>45</v>
      </c>
      <c r="AF44" s="14">
        <f t="shared" si="0"/>
        <v>0.4617272</v>
      </c>
      <c r="AG44" s="11" t="s">
        <v>46</v>
      </c>
    </row>
    <row r="45" spans="1:33" x14ac:dyDescent="0.2">
      <c r="A45" s="8">
        <v>9152</v>
      </c>
      <c r="B45" s="9" t="s">
        <v>185</v>
      </c>
      <c r="C45" s="10">
        <v>43508</v>
      </c>
      <c r="D45" s="11">
        <v>41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189</v>
      </c>
      <c r="J45" s="12" t="s">
        <v>190</v>
      </c>
      <c r="K45" s="13" t="s">
        <v>40</v>
      </c>
      <c r="L45" s="11" t="str">
        <f>"000001"</f>
        <v>000001</v>
      </c>
      <c r="M45" s="10">
        <v>42844</v>
      </c>
      <c r="N45" s="11" t="str">
        <f>"000014"</f>
        <v>000014</v>
      </c>
      <c r="O45" s="10">
        <v>43308</v>
      </c>
      <c r="P45" s="11" t="str">
        <f>"000012"</f>
        <v>000012</v>
      </c>
      <c r="Q45" s="10">
        <v>43308</v>
      </c>
      <c r="R45" s="11"/>
      <c r="S45" s="11" t="str">
        <f>"000346"</f>
        <v>000346</v>
      </c>
      <c r="T45" s="10">
        <v>43566</v>
      </c>
      <c r="U45" s="14">
        <v>2.5534699999999999</v>
      </c>
      <c r="V45" s="14">
        <v>0.25836999999999999</v>
      </c>
      <c r="W45" s="14">
        <v>2.2951000000000001</v>
      </c>
      <c r="X45" s="11">
        <v>349</v>
      </c>
      <c r="Y45" s="10">
        <v>43508</v>
      </c>
      <c r="Z45" s="11">
        <v>9845375347</v>
      </c>
      <c r="AA45" s="12" t="s">
        <v>191</v>
      </c>
      <c r="AB45" s="11" t="s">
        <v>91</v>
      </c>
      <c r="AC45" s="12" t="s">
        <v>92</v>
      </c>
      <c r="AD45" s="11" t="s">
        <v>93</v>
      </c>
      <c r="AE45" s="12" t="s">
        <v>94</v>
      </c>
      <c r="AF45" s="14">
        <f t="shared" si="0"/>
        <v>2.55347E-2</v>
      </c>
      <c r="AG45" s="11" t="s">
        <v>57</v>
      </c>
    </row>
    <row r="46" spans="1:33" x14ac:dyDescent="0.2">
      <c r="A46" s="8">
        <v>9255</v>
      </c>
      <c r="B46" s="9" t="s">
        <v>185</v>
      </c>
      <c r="C46" s="10">
        <v>43521</v>
      </c>
      <c r="D46" s="11">
        <v>41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192</v>
      </c>
      <c r="J46" s="12" t="s">
        <v>193</v>
      </c>
      <c r="K46" s="13" t="s">
        <v>40</v>
      </c>
      <c r="L46" s="11" t="str">
        <f>"000022"</f>
        <v>000022</v>
      </c>
      <c r="M46" s="10">
        <v>42907</v>
      </c>
      <c r="N46" s="11" t="str">
        <f>"000014"</f>
        <v>000014</v>
      </c>
      <c r="O46" s="10">
        <v>43047</v>
      </c>
      <c r="P46" s="11" t="str">
        <f>"000051"</f>
        <v>000051</v>
      </c>
      <c r="Q46" s="10">
        <v>43049</v>
      </c>
      <c r="R46" s="11"/>
      <c r="S46" s="11" t="str">
        <f>"009278"</f>
        <v>009278</v>
      </c>
      <c r="T46" s="10">
        <v>43515</v>
      </c>
      <c r="U46" s="14">
        <v>24.024000000000001</v>
      </c>
      <c r="V46" s="14">
        <v>0.50449999999999995</v>
      </c>
      <c r="W46" s="14">
        <v>23.519500000000001</v>
      </c>
      <c r="X46" s="11">
        <v>358</v>
      </c>
      <c r="Y46" s="10">
        <v>43521</v>
      </c>
      <c r="Z46" s="11">
        <v>9448512985</v>
      </c>
      <c r="AA46" s="12" t="s">
        <v>194</v>
      </c>
      <c r="AB46" s="11" t="s">
        <v>42</v>
      </c>
      <c r="AC46" s="12" t="s">
        <v>43</v>
      </c>
      <c r="AD46" s="11" t="s">
        <v>44</v>
      </c>
      <c r="AE46" s="12" t="s">
        <v>45</v>
      </c>
      <c r="AF46" s="14">
        <f t="shared" si="0"/>
        <v>0.24024000000000001</v>
      </c>
      <c r="AG46" s="11" t="s">
        <v>46</v>
      </c>
    </row>
    <row r="47" spans="1:33" x14ac:dyDescent="0.2">
      <c r="A47" s="8">
        <v>9528</v>
      </c>
      <c r="B47" s="9" t="s">
        <v>195</v>
      </c>
      <c r="C47" s="10">
        <v>43531</v>
      </c>
      <c r="D47" s="11">
        <v>41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196</v>
      </c>
      <c r="J47" s="12" t="s">
        <v>197</v>
      </c>
      <c r="K47" s="13" t="s">
        <v>40</v>
      </c>
      <c r="L47" s="11" t="str">
        <f>"000044"</f>
        <v>000044</v>
      </c>
      <c r="M47" s="10">
        <v>42851</v>
      </c>
      <c r="N47" s="11" t="str">
        <f>"000011"</f>
        <v>000011</v>
      </c>
      <c r="O47" s="10">
        <v>42906</v>
      </c>
      <c r="P47" s="11" t="str">
        <f>"000099"</f>
        <v>000099</v>
      </c>
      <c r="Q47" s="10">
        <v>42906</v>
      </c>
      <c r="R47" s="11"/>
      <c r="S47" s="11" t="str">
        <f>"009543"</f>
        <v>009543</v>
      </c>
      <c r="T47" s="10">
        <v>43526</v>
      </c>
      <c r="U47" s="14">
        <v>45.717350000000003</v>
      </c>
      <c r="V47" s="14">
        <v>3.2769400000000002</v>
      </c>
      <c r="W47" s="14">
        <v>42.44041</v>
      </c>
      <c r="X47" s="11">
        <v>370</v>
      </c>
      <c r="Y47" s="10">
        <v>43531</v>
      </c>
      <c r="Z47" s="11">
        <v>9448101867</v>
      </c>
      <c r="AA47" s="12" t="s">
        <v>198</v>
      </c>
      <c r="AB47" s="11" t="s">
        <v>42</v>
      </c>
      <c r="AC47" s="12" t="s">
        <v>43</v>
      </c>
      <c r="AD47" s="11" t="s">
        <v>44</v>
      </c>
      <c r="AE47" s="12" t="s">
        <v>45</v>
      </c>
      <c r="AF47" s="14">
        <f t="shared" si="0"/>
        <v>0.45717350000000001</v>
      </c>
      <c r="AG47" s="11" t="s">
        <v>46</v>
      </c>
    </row>
    <row r="48" spans="1:33" x14ac:dyDescent="0.2">
      <c r="A48" s="8">
        <v>9937</v>
      </c>
      <c r="B48" s="9" t="s">
        <v>195</v>
      </c>
      <c r="C48" s="10">
        <v>43552</v>
      </c>
      <c r="D48" s="11">
        <v>41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199</v>
      </c>
      <c r="J48" s="12" t="s">
        <v>200</v>
      </c>
      <c r="K48" s="13" t="s">
        <v>40</v>
      </c>
      <c r="L48" s="11" t="str">
        <f>"000087"</f>
        <v>000087</v>
      </c>
      <c r="M48" s="10">
        <v>42885</v>
      </c>
      <c r="N48" s="11" t="str">
        <f>"000013"</f>
        <v>000013</v>
      </c>
      <c r="O48" s="10">
        <v>42916</v>
      </c>
      <c r="P48" s="11" t="str">
        <f>"000161"</f>
        <v>000161</v>
      </c>
      <c r="Q48" s="10">
        <v>42916</v>
      </c>
      <c r="R48" s="11"/>
      <c r="S48" s="11" t="str">
        <f>"009943"</f>
        <v>009943</v>
      </c>
      <c r="T48" s="10">
        <v>43549</v>
      </c>
      <c r="U48" s="14">
        <v>29.975480000000001</v>
      </c>
      <c r="V48" s="14">
        <v>2.2031900000000002</v>
      </c>
      <c r="W48" s="14">
        <v>27.772290000000002</v>
      </c>
      <c r="X48" s="11">
        <v>388</v>
      </c>
      <c r="Y48" s="10">
        <v>43552</v>
      </c>
      <c r="Z48" s="11">
        <v>9845977507</v>
      </c>
      <c r="AA48" s="12" t="s">
        <v>201</v>
      </c>
      <c r="AB48" s="11" t="s">
        <v>42</v>
      </c>
      <c r="AC48" s="12" t="s">
        <v>43</v>
      </c>
      <c r="AD48" s="11" t="s">
        <v>44</v>
      </c>
      <c r="AE48" s="12" t="s">
        <v>45</v>
      </c>
      <c r="AF48" s="14">
        <f t="shared" si="0"/>
        <v>0.29975479999999999</v>
      </c>
      <c r="AG48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2019-06-12T11:06:36Z</dcterms:modified>
</cp:coreProperties>
</file>