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0" i="1" l="1"/>
  <c r="S120" i="1"/>
  <c r="P120" i="1"/>
  <c r="N120" i="1"/>
  <c r="L120" i="1"/>
  <c r="AF119" i="1"/>
  <c r="S119" i="1"/>
  <c r="P119" i="1"/>
  <c r="N119" i="1"/>
  <c r="L119" i="1"/>
  <c r="AF118" i="1"/>
  <c r="S118" i="1"/>
  <c r="P118" i="1"/>
  <c r="N118" i="1"/>
  <c r="L118" i="1"/>
  <c r="AF117" i="1"/>
  <c r="S117" i="1"/>
  <c r="P117" i="1"/>
  <c r="N117" i="1"/>
  <c r="L117" i="1"/>
  <c r="AF116" i="1"/>
  <c r="S116" i="1"/>
  <c r="P116" i="1"/>
  <c r="N116" i="1"/>
  <c r="L116" i="1"/>
  <c r="AF115" i="1"/>
  <c r="S115" i="1"/>
  <c r="P115" i="1"/>
  <c r="N115" i="1"/>
  <c r="L115" i="1"/>
  <c r="AF114" i="1"/>
  <c r="S114" i="1"/>
  <c r="P114" i="1"/>
  <c r="N114" i="1"/>
  <c r="L114" i="1"/>
  <c r="AF113" i="1"/>
  <c r="S113" i="1"/>
  <c r="P113" i="1"/>
  <c r="N113" i="1"/>
  <c r="L113" i="1"/>
  <c r="AF112" i="1"/>
  <c r="S112" i="1"/>
  <c r="P112" i="1"/>
  <c r="N112" i="1"/>
  <c r="L112" i="1"/>
  <c r="AF111" i="1"/>
  <c r="S111" i="1"/>
  <c r="P111" i="1"/>
  <c r="N111" i="1"/>
  <c r="L111" i="1"/>
  <c r="AF110" i="1"/>
  <c r="S110" i="1"/>
  <c r="P110" i="1"/>
  <c r="N110" i="1"/>
  <c r="L110" i="1"/>
  <c r="AF109" i="1"/>
  <c r="S109" i="1"/>
  <c r="P109" i="1"/>
  <c r="N109" i="1"/>
  <c r="L109" i="1"/>
  <c r="AF108" i="1"/>
  <c r="S108" i="1"/>
  <c r="P108" i="1"/>
  <c r="N108" i="1"/>
  <c r="L108" i="1"/>
  <c r="AF107" i="1"/>
  <c r="S107" i="1"/>
  <c r="P107" i="1"/>
  <c r="N107" i="1"/>
  <c r="L107" i="1"/>
  <c r="AF106" i="1"/>
  <c r="S106" i="1"/>
  <c r="P106" i="1"/>
  <c r="N106" i="1"/>
  <c r="L106" i="1"/>
  <c r="AF105" i="1"/>
  <c r="S105" i="1"/>
  <c r="P105" i="1"/>
  <c r="N105" i="1"/>
  <c r="L105" i="1"/>
  <c r="AF104" i="1"/>
  <c r="S104" i="1"/>
  <c r="P104" i="1"/>
  <c r="N104" i="1"/>
  <c r="L104" i="1"/>
  <c r="AF103" i="1"/>
  <c r="S103" i="1"/>
  <c r="P103" i="1"/>
  <c r="N103" i="1"/>
  <c r="L103" i="1"/>
  <c r="AF102" i="1"/>
  <c r="S102" i="1"/>
  <c r="P102" i="1"/>
  <c r="N102" i="1"/>
  <c r="L102" i="1"/>
  <c r="AF101" i="1"/>
  <c r="S101" i="1"/>
  <c r="P101" i="1"/>
  <c r="N101" i="1"/>
  <c r="L101" i="1"/>
  <c r="AF100" i="1"/>
  <c r="S100" i="1"/>
  <c r="P100" i="1"/>
  <c r="N100" i="1"/>
  <c r="L100" i="1"/>
  <c r="AF99" i="1"/>
  <c r="S99" i="1"/>
  <c r="P99" i="1"/>
  <c r="N99" i="1"/>
  <c r="L99" i="1"/>
  <c r="AF98" i="1"/>
  <c r="S98" i="1"/>
  <c r="P98" i="1"/>
  <c r="N98" i="1"/>
  <c r="L98" i="1"/>
  <c r="AF97" i="1"/>
  <c r="S97" i="1"/>
  <c r="P97" i="1"/>
  <c r="N97" i="1"/>
  <c r="L97" i="1"/>
  <c r="AF96" i="1"/>
  <c r="S96" i="1"/>
  <c r="P96" i="1"/>
  <c r="N96" i="1"/>
  <c r="L96" i="1"/>
  <c r="AF95" i="1"/>
  <c r="S95" i="1"/>
  <c r="P95" i="1"/>
  <c r="N95" i="1"/>
  <c r="L95" i="1"/>
  <c r="AF94" i="1"/>
  <c r="S94" i="1"/>
  <c r="P94" i="1"/>
  <c r="N94" i="1"/>
  <c r="L94" i="1"/>
  <c r="AF93" i="1"/>
  <c r="S93" i="1"/>
  <c r="P93" i="1"/>
  <c r="N93" i="1"/>
  <c r="L93" i="1"/>
  <c r="AF92" i="1"/>
  <c r="S92" i="1"/>
  <c r="P92" i="1"/>
  <c r="N92" i="1"/>
  <c r="L92" i="1"/>
  <c r="AF91" i="1"/>
  <c r="S91" i="1"/>
  <c r="P91" i="1"/>
  <c r="N91" i="1"/>
  <c r="L91" i="1"/>
  <c r="AF90" i="1"/>
  <c r="S90" i="1"/>
  <c r="P90" i="1"/>
  <c r="N90" i="1"/>
  <c r="L90" i="1"/>
  <c r="AF89" i="1"/>
  <c r="S89" i="1"/>
  <c r="P89" i="1"/>
  <c r="N89" i="1"/>
  <c r="L89" i="1"/>
  <c r="AF88" i="1"/>
  <c r="S88" i="1"/>
  <c r="P88" i="1"/>
  <c r="N88" i="1"/>
  <c r="L88" i="1"/>
  <c r="AF87" i="1"/>
  <c r="S87" i="1"/>
  <c r="P87" i="1"/>
  <c r="N87" i="1"/>
  <c r="L87" i="1"/>
  <c r="AF86" i="1"/>
  <c r="S86" i="1"/>
  <c r="P86" i="1"/>
  <c r="N86" i="1"/>
  <c r="L86" i="1"/>
  <c r="AF85" i="1"/>
  <c r="S85" i="1"/>
  <c r="P85" i="1"/>
  <c r="N85" i="1"/>
  <c r="L85" i="1"/>
  <c r="AF84" i="1"/>
  <c r="S84" i="1"/>
  <c r="P84" i="1"/>
  <c r="N84" i="1"/>
  <c r="L84" i="1"/>
  <c r="AF83" i="1"/>
  <c r="S83" i="1"/>
  <c r="P83" i="1"/>
  <c r="N83" i="1"/>
  <c r="L83" i="1"/>
  <c r="AF82" i="1"/>
  <c r="S82" i="1"/>
  <c r="P82" i="1"/>
  <c r="N82" i="1"/>
  <c r="L82" i="1"/>
  <c r="AF81" i="1"/>
  <c r="S81" i="1"/>
  <c r="P81" i="1"/>
  <c r="N81" i="1"/>
  <c r="L81" i="1"/>
  <c r="AF80" i="1"/>
  <c r="S80" i="1"/>
  <c r="P80" i="1"/>
  <c r="N80" i="1"/>
  <c r="L80" i="1"/>
  <c r="AF79" i="1"/>
  <c r="S79" i="1"/>
  <c r="P79" i="1"/>
  <c r="N79" i="1"/>
  <c r="L79" i="1"/>
  <c r="AF78" i="1"/>
  <c r="S78" i="1"/>
  <c r="P78" i="1"/>
  <c r="N78" i="1"/>
  <c r="L78" i="1"/>
  <c r="AF77" i="1"/>
  <c r="S77" i="1"/>
  <c r="P77" i="1"/>
  <c r="N77" i="1"/>
  <c r="L77" i="1"/>
  <c r="AF76" i="1"/>
  <c r="S76" i="1"/>
  <c r="P76" i="1"/>
  <c r="N76" i="1"/>
  <c r="L76" i="1"/>
  <c r="AF75" i="1"/>
  <c r="S75" i="1"/>
  <c r="P75" i="1"/>
  <c r="N75" i="1"/>
  <c r="L75" i="1"/>
  <c r="AF74" i="1"/>
  <c r="S74" i="1"/>
  <c r="P74" i="1"/>
  <c r="N74" i="1"/>
  <c r="L74" i="1"/>
  <c r="AF73" i="1"/>
  <c r="S73" i="1"/>
  <c r="P73" i="1"/>
  <c r="N73" i="1"/>
  <c r="L73" i="1"/>
  <c r="AF72" i="1"/>
  <c r="S72" i="1"/>
  <c r="P72" i="1"/>
  <c r="N72" i="1"/>
  <c r="L72" i="1"/>
  <c r="AF71" i="1"/>
  <c r="S71" i="1"/>
  <c r="P71" i="1"/>
  <c r="N71" i="1"/>
  <c r="L71" i="1"/>
  <c r="AF70" i="1"/>
  <c r="S70" i="1"/>
  <c r="P70" i="1"/>
  <c r="N70" i="1"/>
  <c r="L70" i="1"/>
  <c r="AF69" i="1"/>
  <c r="S69" i="1"/>
  <c r="P69" i="1"/>
  <c r="N69" i="1"/>
  <c r="L69" i="1"/>
  <c r="AF68" i="1"/>
  <c r="S68" i="1"/>
  <c r="P68" i="1"/>
  <c r="N68" i="1"/>
  <c r="L68" i="1"/>
  <c r="S67" i="1"/>
  <c r="P67" i="1"/>
  <c r="N67" i="1"/>
  <c r="L67" i="1"/>
  <c r="S66" i="1"/>
  <c r="P66" i="1"/>
  <c r="N66" i="1"/>
  <c r="L66" i="1"/>
  <c r="S65" i="1"/>
  <c r="P65" i="1"/>
  <c r="N65" i="1"/>
  <c r="L65" i="1"/>
  <c r="S64" i="1"/>
  <c r="P64" i="1"/>
  <c r="N64" i="1"/>
  <c r="L64" i="1"/>
  <c r="S63" i="1"/>
  <c r="P63" i="1"/>
  <c r="N63" i="1"/>
  <c r="L63" i="1"/>
  <c r="S62" i="1"/>
  <c r="P62" i="1"/>
  <c r="N62" i="1"/>
  <c r="L62" i="1"/>
  <c r="S61" i="1"/>
  <c r="P61" i="1"/>
  <c r="N61" i="1"/>
  <c r="L61" i="1"/>
  <c r="S60" i="1"/>
  <c r="P60" i="1"/>
  <c r="N60" i="1"/>
  <c r="L60" i="1"/>
  <c r="S59" i="1"/>
  <c r="P59" i="1"/>
  <c r="N59" i="1"/>
  <c r="L59" i="1"/>
  <c r="S58" i="1"/>
  <c r="P58" i="1"/>
  <c r="N58" i="1"/>
  <c r="L58" i="1"/>
  <c r="S57" i="1"/>
  <c r="P57" i="1"/>
  <c r="N57" i="1"/>
  <c r="L57" i="1"/>
  <c r="S56" i="1"/>
  <c r="P56" i="1"/>
  <c r="N56" i="1"/>
  <c r="L56" i="1"/>
  <c r="S55" i="1"/>
  <c r="P55" i="1"/>
  <c r="N55" i="1"/>
  <c r="L55" i="1"/>
  <c r="S54" i="1"/>
  <c r="P54" i="1"/>
  <c r="N54" i="1"/>
  <c r="L54" i="1"/>
  <c r="S53" i="1"/>
  <c r="P53" i="1"/>
  <c r="N53" i="1"/>
  <c r="L53" i="1"/>
  <c r="S52" i="1"/>
  <c r="P52" i="1"/>
  <c r="N52" i="1"/>
  <c r="L52" i="1"/>
  <c r="S51" i="1"/>
  <c r="P51" i="1"/>
  <c r="N51" i="1"/>
  <c r="L51" i="1"/>
  <c r="S50" i="1"/>
  <c r="P50" i="1"/>
  <c r="N50" i="1"/>
  <c r="L50" i="1"/>
  <c r="S49" i="1"/>
  <c r="P49" i="1"/>
  <c r="N49" i="1"/>
  <c r="L49" i="1"/>
  <c r="S48" i="1"/>
  <c r="P48" i="1"/>
  <c r="N48" i="1"/>
  <c r="L48" i="1"/>
  <c r="S47" i="1"/>
  <c r="P47" i="1"/>
  <c r="N47" i="1"/>
  <c r="L47" i="1"/>
  <c r="S46" i="1"/>
  <c r="P46" i="1"/>
  <c r="N46" i="1"/>
  <c r="L46" i="1"/>
  <c r="S45" i="1"/>
  <c r="P45" i="1"/>
  <c r="N45" i="1"/>
  <c r="L45" i="1"/>
  <c r="S44" i="1"/>
  <c r="P44" i="1"/>
  <c r="N44" i="1"/>
  <c r="L44" i="1"/>
  <c r="S43" i="1"/>
  <c r="P43" i="1"/>
  <c r="N43" i="1"/>
  <c r="L43" i="1"/>
  <c r="S42" i="1"/>
  <c r="P42" i="1"/>
  <c r="N42" i="1"/>
  <c r="L42" i="1"/>
  <c r="S41" i="1"/>
  <c r="P41" i="1"/>
  <c r="N41" i="1"/>
  <c r="L41" i="1"/>
  <c r="S40" i="1"/>
  <c r="P40" i="1"/>
  <c r="N40" i="1"/>
  <c r="L40" i="1"/>
  <c r="S39" i="1"/>
  <c r="P39" i="1"/>
  <c r="N39" i="1"/>
  <c r="L39" i="1"/>
  <c r="S38" i="1"/>
  <c r="P38" i="1"/>
  <c r="N38" i="1"/>
  <c r="L38" i="1"/>
  <c r="S37" i="1"/>
  <c r="P37" i="1"/>
  <c r="N37" i="1"/>
  <c r="L37" i="1"/>
  <c r="S36" i="1"/>
  <c r="P36" i="1"/>
  <c r="N36" i="1"/>
  <c r="L36" i="1"/>
  <c r="S35" i="1"/>
  <c r="P35" i="1"/>
  <c r="N35" i="1"/>
  <c r="L35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<sst xmlns="http://schemas.openxmlformats.org/spreadsheetml/2006/main" count="1699" uniqueCount="333">
  <si>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</si>
  <si>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</si>
  <si>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</si>
  <si>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</si>
  <si>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</si>
  <si>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</si>
  <si>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</si>
  <si>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</si>
  <si>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</si>
  <si>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</si>
  <si>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</si>
  <si>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</si>
  <si>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</si>
  <si>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</si>
  <si>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</si>
  <si>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</si>
  <si>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</si>
  <si>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</si>
  <si>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</si>
  <si>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</si>
  <si>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</si>
  <si>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</si>
  <si>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</si>
  <si>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</si>
  <si>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</si>
  <si>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</si>
  <si>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</si>
  <si>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</si>
  <si>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</si>
  <si>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</si>
  <si>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</si>
  <si>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</si>
  <si>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</si>
  <si>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</si>
  <si>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Nandini Layout</t>
  </si>
  <si>
    <t>Mahalakshmi Layout</t>
  </si>
  <si>
    <t>West</t>
  </si>
  <si>
    <t>043-18-000013</t>
  </si>
  <si>
    <t>Improvements to drains and Ashphalting to roads in Ravi Badavane in ward No 43 Nandinilayout</t>
  </si>
  <si>
    <t>Footpaths &amp; Walkability</t>
  </si>
  <si>
    <t>KRIDL</t>
  </si>
  <si>
    <t>P3111</t>
  </si>
  <si>
    <t>State Finance Commission Untied Grant Works</t>
  </si>
  <si>
    <t>ddo201</t>
  </si>
  <si>
    <t xml:space="preserve"> Assistant Executive Engineer Mahalakshmipuram West Zone</t>
  </si>
  <si>
    <t>Pending</t>
  </si>
  <si>
    <t>043-18-000012</t>
  </si>
  <si>
    <t>Improvements to drains and culverts in Ravi Badavane in ward No 43 Nandinilayout</t>
  </si>
  <si>
    <t>kridl</t>
  </si>
  <si>
    <t>043-16-000051</t>
  </si>
  <si>
    <t>Providing and fixing outdoor gym equipments in circular park in ward no-43 Nandini layout</t>
  </si>
  <si>
    <t>Trees, Parks &amp; Playgrounds</t>
  </si>
  <si>
    <t>Executive Engineer, KRIDL</t>
  </si>
  <si>
    <t>P0088</t>
  </si>
  <si>
    <t>Maintenance and Management of Parks on Contract</t>
  </si>
  <si>
    <t>ddo326</t>
  </si>
  <si>
    <t xml:space="preserve"> Executive Engineer SWM 1 Central Zone</t>
  </si>
  <si>
    <t>043-18-000031</t>
  </si>
  <si>
    <t>Providing Chain Link fencing and other development works in Kanteeravanagar slum near Anganawadi building in Ward No. 43 Nandini Layout</t>
  </si>
  <si>
    <t>Other Ward Works</t>
  </si>
  <si>
    <t>P1878</t>
  </si>
  <si>
    <t>18per - Works (Bhagyajyothi, Sooru / Neeru Yojane and General) (54 Lakhs / New Wards)</t>
  </si>
  <si>
    <t>043-18-000027</t>
  </si>
  <si>
    <t>Providing LED lights and other Improvements work in Kanteerava Nagar slum in Ward No. 43</t>
  </si>
  <si>
    <t>043-18-000030</t>
  </si>
  <si>
    <t>Providing Gym Equipments Kanteeravanagar slum in Ward No. 43 Nandini Layout</t>
  </si>
  <si>
    <t>043-18-000029</t>
  </si>
  <si>
    <t>Providing CC to 4th main road and other improvements works in Kanteeravanagar slum in Ward No. 43 Nandini Layout</t>
  </si>
  <si>
    <t>043-18-000034</t>
  </si>
  <si>
    <t>Improvements to Drains and CC to 1st main and 2nd main road in Kanteerava Nagar slum in ward No. 43 Nandini Layout</t>
  </si>
  <si>
    <t>043-18-000023</t>
  </si>
  <si>
    <t>Construction of RCC Drain and culverts in 5th main road in Kanteerava Nagar slum in Ward No. 43</t>
  </si>
  <si>
    <t>043-18-000025</t>
  </si>
  <si>
    <t>Providing CC to 5th cross road in Kanteerava Nagar slum in Ward No. 43</t>
  </si>
  <si>
    <t>043-18-000032</t>
  </si>
  <si>
    <t>Providing Steel Railing in Kanteeravanagar Slum in Ward No. 43</t>
  </si>
  <si>
    <t>043-18-000033</t>
  </si>
  <si>
    <t>Providing Name boards in Kanteerava Nagar and Parimalanagar slum in Ward No. 43</t>
  </si>
  <si>
    <t>Roads &amp; Drivablility</t>
  </si>
  <si>
    <t>043-17-000076</t>
  </si>
  <si>
    <t>Providing and fixing of LED Street lights in Ward No 43 in Mahalakshmi lyt Division</t>
  </si>
  <si>
    <t>Executive Engineer KRIDL</t>
  </si>
  <si>
    <t>P3110</t>
  </si>
  <si>
    <t>14th Finance Commission Grant Works</t>
  </si>
  <si>
    <t>ddo209</t>
  </si>
  <si>
    <t xml:space="preserve"> Assistant Executive Engineer Electrical West Zone</t>
  </si>
  <si>
    <t>Current</t>
  </si>
  <si>
    <t>043-18-000039</t>
  </si>
  <si>
    <t>Improvements to drains and roads to 8th, 9th main and gully roads in Kanteeravanagar slum in ward No. 43 Nandini Layout</t>
  </si>
  <si>
    <t xml:space="preserve">kridl </t>
  </si>
  <si>
    <t>Spill Over</t>
  </si>
  <si>
    <t>043-18-000037</t>
  </si>
  <si>
    <t>Improvements to drains and CC to 2nd 3rd, 4th roads in Parimala Nagar slum in Nandini Layout ward No. 43</t>
  </si>
  <si>
    <t>043-18-000040</t>
  </si>
  <si>
    <t>Improvements to Drains and Roads to 6th and 7th main and gully roads in Kanteerava Nagar slum in Ward No. 43 Nandini Layout</t>
  </si>
  <si>
    <t>043-18-000016</t>
  </si>
  <si>
    <t>Improvements to drains and Construction of Concrete road at 11th main in 4th Block of Ward No 43</t>
  </si>
  <si>
    <t>May</t>
  </si>
  <si>
    <t>043-17-000135</t>
  </si>
  <si>
    <t>Comprehensive development of roads and drains in ward no 43, 44, 68, and 74 Mahalakshmipuram Sub Division (MLP-Package-1)</t>
  </si>
  <si>
    <t>Star builders &amp; developers Prop Doraiswamy</t>
  </si>
  <si>
    <t>P3158</t>
  </si>
  <si>
    <t>SIP Infrastructure Project works</t>
  </si>
  <si>
    <t>043-18-000015</t>
  </si>
  <si>
    <t>Improvements to drains and construction of Concrete road in J.S.Nagara in ward No 43 Nandinilayout</t>
  </si>
  <si>
    <t>043-15-000077</t>
  </si>
  <si>
    <t>Providing Asphalting To BWSSB Road Cutting Portions In Nandini Layout Ward N0.43</t>
  </si>
  <si>
    <t xml:space="preserve">M/s KRIDL </t>
  </si>
  <si>
    <t>P3075</t>
  </si>
  <si>
    <t>Special comprehensive development works in Bangalore city (Bangalore city in charge Minister Discretionary Grants)</t>
  </si>
  <si>
    <t>043-15-000079</t>
  </si>
  <si>
    <t>Providing Asphalting To Ramakrishna Nagara In Nandini Layout Ward N0.43</t>
  </si>
  <si>
    <t>M/s KRIDL</t>
  </si>
  <si>
    <t>043-13-000074</t>
  </si>
  <si>
    <t xml:space="preserve">Modified Estimate for Asphalting to roads in Parimalanagar area in Ward No. 43 </t>
  </si>
  <si>
    <t>P2201</t>
  </si>
  <si>
    <t>Assembly Constituency Development Works under BBMP</t>
  </si>
  <si>
    <t>043-15-000076</t>
  </si>
  <si>
    <t>Providing Asphalting To ALF Quarterse And RBI Quarterse Nandini Layout In Ward N0.43</t>
  </si>
  <si>
    <t>043-15-000080</t>
  </si>
  <si>
    <t>Providing Asphalting To Srinivasa Nagara In Nandini Layout Ward N0.43</t>
  </si>
  <si>
    <t>043-15-000075</t>
  </si>
  <si>
    <t>Providing Asphalting To Circular Park,8th Main J.M Nagar And Bhel Park-Side Road In Nandini Layout Ward N0.43</t>
  </si>
  <si>
    <t>043-15-000081</t>
  </si>
  <si>
    <t>Providing Asphalting To Shivakumar Swami Main Road From Nandini Layout Bus Stand To Shivakumaraswamy Circle In Nandini Layout Ward No. 43</t>
  </si>
  <si>
    <t>043-15-000078</t>
  </si>
  <si>
    <t>Providing Asphalting To J S Nagara From Saraswathipuram Main Road To Netaji Circle And Surrounding Areas In Ward N0.43 Nandini Layout</t>
  </si>
  <si>
    <t>043-15-000074</t>
  </si>
  <si>
    <t>Providing Asphalting To 1st Cross 4th Block , Narasimha Layout And Parimalanagara In Nandini Layout Ward N0.43</t>
  </si>
  <si>
    <t>June</t>
  </si>
  <si>
    <t>043-18-000010</t>
  </si>
  <si>
    <t>Providing Ornamental grill work and other improvements for median at Double road in ward No 43 Nandinilayout</t>
  </si>
  <si>
    <t>043-17-000001</t>
  </si>
  <si>
    <t>Construction of RCC drain in 2nd Cross RBI quarters in ward NO.43</t>
  </si>
  <si>
    <t>P2178</t>
  </si>
  <si>
    <t>Works sanctioned by Dy. Mayor</t>
  </si>
  <si>
    <t>043-18-000038</t>
  </si>
  <si>
    <t>Improvements to drains and CC to 5th, 5th, 7th roads in Parimala Nagar slum in Nandini Layout ward No. 43</t>
  </si>
  <si>
    <t>043-15-000072</t>
  </si>
  <si>
    <t>Providing Asphalting To 6th Circular Road From Water Tank To Shiva Temple In Ward N0.43 Nandini Layout</t>
  </si>
  <si>
    <t>043-15-000063</t>
  </si>
  <si>
    <t>Providing Asphalting To 22nd Main From 6th Circular Road To Aralikatte Ward N0.43 Nandini Layout.</t>
  </si>
  <si>
    <t>043-17-000011</t>
  </si>
  <si>
    <t>Regarding of 35th main road drains from Ravi layout 1st cross to Aralikatte at Jaimaruthinagara slum in ward no.43</t>
  </si>
  <si>
    <t>043-17-000008</t>
  </si>
  <si>
    <t>Improvements to drains and roads in 3rd cross at Ravi layout (Saraswathi vidya nikethan school road) in Nandini Layout in ward NO.43</t>
  </si>
  <si>
    <t>043-17-000015</t>
  </si>
  <si>
    <t>Providing flagging course to 22nd main BHEL layout E/S in ward NO.43</t>
  </si>
  <si>
    <t>043-17-000016</t>
  </si>
  <si>
    <t>Providing flagging course to 22nd main BHEL layout W-S in ward NO.43</t>
  </si>
  <si>
    <t>043-17-000012</t>
  </si>
  <si>
    <t>Construction of RCC drains with covering slab to BHEL layout in 5th main Nandini Layout Site office beside drains in ward No.43</t>
  </si>
  <si>
    <t>043-17-000005</t>
  </si>
  <si>
    <t>Providing CC road 5th cross RBI LF Quarters in ward NO.43</t>
  </si>
  <si>
    <t>043-17-000004</t>
  </si>
  <si>
    <t>Providing ornamental grills in 5th cross RBI quarters in ward No.43</t>
  </si>
  <si>
    <t>043-17-000006</t>
  </si>
  <si>
    <t>Improvements shuttle badminton court building in BHEL Layout near Park inward No.43</t>
  </si>
  <si>
    <t>043-17-000007</t>
  </si>
  <si>
    <t>Improvements to roads and drains in BHEL layout Surroundings Shuttle badminton court in ward No.43</t>
  </si>
  <si>
    <t>043-17-000003</t>
  </si>
  <si>
    <t>Improvements to drains and steps and providing concrete in galli roads at EWS and RBI quarters in ward No.43</t>
  </si>
  <si>
    <t>043-16-000054</t>
  </si>
  <si>
    <t>Providing CC road at Parimaalanagara Parallel to SWD in Nandini Layout in ward No.43</t>
  </si>
  <si>
    <t>043-16-000056</t>
  </si>
  <si>
    <t>Providing CC road at 7th Cross and other roads in Parimalanagara Nandini layout in ward No.43</t>
  </si>
  <si>
    <t>July</t>
  </si>
  <si>
    <t>043-17-000127</t>
  </si>
  <si>
    <t>Drilling and commissing of borewell in ward no 43</t>
  </si>
  <si>
    <t>Water &amp; Sanitary</t>
  </si>
  <si>
    <t>P0190</t>
  </si>
  <si>
    <t>Works sanctioned by Hon Mayor</t>
  </si>
  <si>
    <t>043-17-000128</t>
  </si>
  <si>
    <t>Providing Pipe line to borewell in ward no 43 Nandini layout</t>
  </si>
  <si>
    <t>043-16-000001</t>
  </si>
  <si>
    <t>Operating Control Room and Providing Emergency Relief for Flooded Areas in Mahalakshmipuram Division in ward no 043</t>
  </si>
  <si>
    <t>B.R.Puttaswamy</t>
  </si>
  <si>
    <t>P2103</t>
  </si>
  <si>
    <t>Emergency Works (Maintenance and Repairs)</t>
  </si>
  <si>
    <t>043-17-000047</t>
  </si>
  <si>
    <t>Providing chain link fencing in disturbed portion of the storm water drain and existing park in ward no-43</t>
  </si>
  <si>
    <t>R.Rathna</t>
  </si>
  <si>
    <t>P1771</t>
  </si>
  <si>
    <t>Zone Works - POW Works</t>
  </si>
  <si>
    <t>043-17-000104</t>
  </si>
  <si>
    <t>Engagement of Gangman and Hiring of Troctor Tippers for cleaning and Maintenance of road side drains and other cleaning works in works in ward no 43</t>
  </si>
  <si>
    <t>043-18-000024</t>
  </si>
  <si>
    <t>Improvements to drains and CC to 11th, 12th , 13th, main and Gully roads in Kanteerava Nagar slum in Ward No. 43 Nandini Layout</t>
  </si>
  <si>
    <t>043-16-000002</t>
  </si>
  <si>
    <t xml:space="preserve"> Annual Operation And maintenance Of Street Lights at Nandini layout in Ward No- 43.</t>
  </si>
  <si>
    <t>Kumar Electricals</t>
  </si>
  <si>
    <t>P0300</t>
  </si>
  <si>
    <t>M and R to Street Lights - Replacement of Burnt Bulbs etc. (Package)</t>
  </si>
  <si>
    <t>043-16-000052</t>
  </si>
  <si>
    <t>Maintenance of circular park in Nandini layout in ward N0.43</t>
  </si>
  <si>
    <t>043-17-000022</t>
  </si>
  <si>
    <t>Providing GYM Equipments in Ramakrishna nagara park Nandini layout in ward no 43</t>
  </si>
  <si>
    <t>Executive Engineer-2, KRIDL</t>
  </si>
  <si>
    <t>P2415</t>
  </si>
  <si>
    <t>Reserve fund for TandF Committee</t>
  </si>
  <si>
    <t>043-17-000024</t>
  </si>
  <si>
    <t>Providing Children Equipments in Circular Park Nandini layout in ward no 43</t>
  </si>
  <si>
    <t>043-17-000021</t>
  </si>
  <si>
    <t>Providing GYM Equipments in BHEL park Nandini layout in ward no 43</t>
  </si>
  <si>
    <t>August</t>
  </si>
  <si>
    <t>043-17-000062</t>
  </si>
  <si>
    <t>Construction of Meditation Mandira in ward no 43 Nandini layout</t>
  </si>
  <si>
    <t>P3165</t>
  </si>
  <si>
    <t>Special Development works in ward No.11, 41, 27, 43, 52, 57 and 9 (each ward Rs.200.00 lakhs)</t>
  </si>
  <si>
    <t>043-17-000108</t>
  </si>
  <si>
    <t>Drilling and commissioning of borewell in ward no 43</t>
  </si>
  <si>
    <t>P3176</t>
  </si>
  <si>
    <t>Developmental works in Ward No. 82, 06,16,44,70,17,26,13,79,35 ( Rs. 300.00 lakhs per each ward)</t>
  </si>
  <si>
    <t>043-17-000107</t>
  </si>
  <si>
    <t>Providing pipe line to borewell in ward no 43</t>
  </si>
  <si>
    <t>043-17-000098</t>
  </si>
  <si>
    <t>Drilling of borewells in ward No.43</t>
  </si>
  <si>
    <t>043-17-000077</t>
  </si>
  <si>
    <t>Providing Shelter and other works at Nagekuta Ramakrishna nagara in ward no 43</t>
  </si>
  <si>
    <t>043-18-000035</t>
  </si>
  <si>
    <t>Providng CC to 3rd main road and gully roads Kanteeravanagar slum in Ward No. 43 Nandini Layout</t>
  </si>
  <si>
    <t>043-18-000028</t>
  </si>
  <si>
    <t>Providing CC to 2nd cross road in Kanteerava Nagar slum in Ward No. 43 Nandini Layout</t>
  </si>
  <si>
    <t>043-16-000053</t>
  </si>
  <si>
    <t>Construction of D.G.Shed and other allied works in circular park in ward No.43</t>
  </si>
  <si>
    <t>043-17-000025</t>
  </si>
  <si>
    <t>Development of Dr. Ambedkar Park in ward no 43 Rajiva Nagar Nandini Layout</t>
  </si>
  <si>
    <t>September</t>
  </si>
  <si>
    <t>043-17-000067</t>
  </si>
  <si>
    <t xml:space="preserve">Providing Chain link fencing at opp. To Presidency school park in ward no 43 Nandini layout </t>
  </si>
  <si>
    <t>043-18-000011</t>
  </si>
  <si>
    <t>Improvements to drain and Asphalting to roads in 4th block Nandini layout in ward No.43</t>
  </si>
  <si>
    <t>043-17-000073</t>
  </si>
  <si>
    <t>Construction of Kempegowda Samudaya Bhavan in ward no 43 Nandini Layout.</t>
  </si>
  <si>
    <t>043-17-000105</t>
  </si>
  <si>
    <t>Development of Play ground in ward No.43</t>
  </si>
  <si>
    <t>B.M.Kiran</t>
  </si>
  <si>
    <t>043-16-000028</t>
  </si>
  <si>
    <t>Pothole filling in Nandini layout ward no.43</t>
  </si>
  <si>
    <t>K.R.Vyasaraj</t>
  </si>
  <si>
    <t>043-16-000040</t>
  </si>
  <si>
    <t>Providing Asphalting to 31st main Sakamma Layout in ward no 43 Nandini layout</t>
  </si>
  <si>
    <t>043-17-000019</t>
  </si>
  <si>
    <t>Construction of Prathana Mandira at Prasanna Mahaganapathi trust in ward no 43</t>
  </si>
  <si>
    <t>043-17-000119</t>
  </si>
  <si>
    <t>Providing Gym Equipments in park Nandini layout ward no 43</t>
  </si>
  <si>
    <t>October</t>
  </si>
  <si>
    <t>043-18-000026</t>
  </si>
  <si>
    <t>Improvements to CC road and drains to 10th main and other improvement works in Kanteerava Nagar slum in Ward No. 43</t>
  </si>
  <si>
    <t>043-17-000100</t>
  </si>
  <si>
    <t>Providing ladies GYM equipments at ward No.43</t>
  </si>
  <si>
    <t>043-17-000099</t>
  </si>
  <si>
    <t>Providing GYM equipmetns at Circular park in ward No.43</t>
  </si>
  <si>
    <t>043-17-000072</t>
  </si>
  <si>
    <t xml:space="preserve">Providing open gym Equipments at Jaimaruthinagara park in ward no 43 Nandini layout </t>
  </si>
  <si>
    <t>043-16-000036</t>
  </si>
  <si>
    <t>Providing Asphalting to APMC quarters area in ward no 43 Nandini layout</t>
  </si>
  <si>
    <t>043-16-000039</t>
  </si>
  <si>
    <t>Providing Asphalting to 14th main from 1st cross FTI quarters to 2nd circular road in ward no 43 Nandini layout</t>
  </si>
  <si>
    <t>043-18-000014</t>
  </si>
  <si>
    <t>Improvements to drains and Ashphalting to road at J.S.Nagara in ward No 43 Nandinilayout</t>
  </si>
  <si>
    <t>043-17-000031</t>
  </si>
  <si>
    <t>Providing lighting system to Circular park at Nandini layout in ward no 43</t>
  </si>
  <si>
    <t>The Technical Manager KRIDL</t>
  </si>
  <si>
    <t>043-17-000120</t>
  </si>
  <si>
    <t>Development of BHEL park in ward no 43</t>
  </si>
  <si>
    <t>043-17-000118</t>
  </si>
  <si>
    <t>Providing Children Equipments in park Nandini layout ward no 43</t>
  </si>
  <si>
    <t>043-17-000033</t>
  </si>
  <si>
    <t>Providing Gazeeba and parks improvements in ward no 43</t>
  </si>
  <si>
    <t>043-17-000046</t>
  </si>
  <si>
    <t>Providing Sheet Shelter to Circular park at Nandini layout in ward no 43</t>
  </si>
  <si>
    <t>043-17-000045</t>
  </si>
  <si>
    <t>Providing GYM equipments to circular park at Nandini layout in ward no 43</t>
  </si>
  <si>
    <t>043-16-000041</t>
  </si>
  <si>
    <t>Providing Asphalting to 2nd cross to 5th cross roads at Jaimaruthinagar in ward no 43 Nandini layout</t>
  </si>
  <si>
    <t>043-15-000084</t>
  </si>
  <si>
    <t>Providing shuttle cock court in ward no.43 Nandini Layout behind public toilet</t>
  </si>
  <si>
    <t>Health &amp; Sanitation</t>
  </si>
  <si>
    <t>043-18-000112</t>
  </si>
  <si>
    <t>Additional works and beautification of Indira Kitchen at water tank road in Ward no-43 Nandini layout.</t>
  </si>
  <si>
    <t>P3106</t>
  </si>
  <si>
    <t>Nagarothana Works</t>
  </si>
  <si>
    <t>043-18-000113</t>
  </si>
  <si>
    <t>Additional works at Indira Canteen in Jai maruthi nagar circle inWard no 43 Nandini layout.</t>
  </si>
  <si>
    <t>Indira Canteen</t>
  </si>
  <si>
    <t>November</t>
  </si>
  <si>
    <t>043-17-000097</t>
  </si>
  <si>
    <t>Drilling of bore wells in Mahalakshmi layout Constituency</t>
  </si>
  <si>
    <t>043-18-000087</t>
  </si>
  <si>
    <t>Maintenance of STP at Circlar Park in ward no 43</t>
  </si>
  <si>
    <t>043-17-000102</t>
  </si>
  <si>
    <t>Construction of retaining wall to BHEL park in ward NO.43</t>
  </si>
  <si>
    <t>Storm Water Drains</t>
  </si>
  <si>
    <t>December</t>
  </si>
  <si>
    <t>043-17-000055</t>
  </si>
  <si>
    <t>Construction of culverts at nandini layout in ward no-43</t>
  </si>
  <si>
    <t>N.Nagaraju</t>
  </si>
  <si>
    <t>043-17-000074</t>
  </si>
  <si>
    <t xml:space="preserve">Providing drinking water works in Ward No 43 in Mahalakshmi lyt Division </t>
  </si>
  <si>
    <t>Drinking Water</t>
  </si>
  <si>
    <t>M/s/Varun Constructions</t>
  </si>
  <si>
    <t>043-17-000084</t>
  </si>
  <si>
    <t xml:space="preserve"> Development of Bouleward park at PWD quarters in ward no 43</t>
  </si>
  <si>
    <t>043-17-000063</t>
  </si>
  <si>
    <t xml:space="preserve">Ragrading of drain at Achlashrma road in ward no 43 Nandini layout </t>
  </si>
  <si>
    <t>043-17-000061</t>
  </si>
  <si>
    <t>Improvements to drain in 5th cross Jaimaruthinagara in ward no 43 Nandini layout.</t>
  </si>
  <si>
    <t>043-17-000059</t>
  </si>
  <si>
    <t>Construction of CC Drain at Sudhakar house to near SWD at Sakamma layout in ward no 43</t>
  </si>
  <si>
    <t>January</t>
  </si>
  <si>
    <t>043-17-000009</t>
  </si>
  <si>
    <t>Construction of Bridge over the SWD drain in 3rd cross at Ravi badavane in ward NO.43</t>
  </si>
  <si>
    <t>043-17-000082</t>
  </si>
  <si>
    <t>Providing CC road at AWS Quarters in ward no 43</t>
  </si>
  <si>
    <t>043-18-000036</t>
  </si>
  <si>
    <t>Providing Asphalting to Bad roads and other improvements works in Parimala Nagar slum in Nandini Layout Ward No. 43</t>
  </si>
  <si>
    <t>February</t>
  </si>
  <si>
    <t>043-16-000038</t>
  </si>
  <si>
    <t>Providing Asphalting to 4th cross Jaimaruthi Nagar in Nandini layout ward no 43</t>
  </si>
  <si>
    <t>043-16-000037</t>
  </si>
  <si>
    <t>Providing Asphalting to Reserve Bank quarters in ward no 43 Nandini layout</t>
  </si>
  <si>
    <t>March</t>
  </si>
  <si>
    <t>043-18-000079</t>
  </si>
  <si>
    <t xml:space="preserve">Drilling of borewells andpipeline in ward NO.43 Nandini layout </t>
  </si>
  <si>
    <t>043-18-000078</t>
  </si>
  <si>
    <t xml:space="preserve">Repairs to school building and Anganawadi in Kanteeravanagara and parimalanagara ward NO.43 Nandini Layout </t>
  </si>
  <si>
    <t>Public Amenities</t>
  </si>
  <si>
    <t>043-18-000077</t>
  </si>
  <si>
    <t xml:space="preserve">Providing pipeline for drinking water supply and Narasimlu layout and J.S.Nagara ward NO.43 Nandini Layout </t>
  </si>
  <si>
    <t>043-17-000048</t>
  </si>
  <si>
    <t>Providing electric poles and street lights in ward no-43</t>
  </si>
  <si>
    <t>Manoj Enterprises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</si>
</sst>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0"/>
  <sheetViews>
    <sheetView tabSelected="1" workbookViewId="0">
      <pane ySplit="1" topLeftCell="A2" activePane="bottomLeft" state="frozen"/>
      <selection activeCell="H1" sqref="H1"/>
      <selection pane="bottomLeft" activeCell="A2" sqref="A2:XFD120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51</v>
      </c>
      <c r="B2" s="9" t="s">
        <v>33</v>
      </c>
      <c r="C2" s="10">
        <v>43194</v>
      </c>
      <c r="D2" s="11">
        <v>43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"000254"</f>
        <v>000254</v>
      </c>
      <c r="M2" s="10">
        <v>43155</v>
      </c>
      <c r="N2" s="11" t="str">
        <f>"000159"</f>
        <v>000159</v>
      </c>
      <c r="O2" s="10">
        <v>43176</v>
      </c>
      <c r="P2" s="11" t="str">
        <f>"000268"</f>
        <v>000268</v>
      </c>
      <c r="Q2" s="10">
        <v>43176</v>
      </c>
      <c r="R2" s="11">
        <v>18</v>
      </c>
      <c r="S2" s="11" t="str">
        <f>"000156"</f>
        <v>000156</v>
      </c>
      <c r="T2" s="10">
        <v>43193</v>
      </c>
      <c r="U2" s="14">
        <v>49.9786</v>
      </c>
      <c r="V2" s="14">
        <v>5.0300399999999996</v>
      </c>
      <c r="W2" s="14">
        <v>44.948560000000001</v>
      </c>
      <c r="X2" s="11">
        <v>2</v>
      </c>
      <c r="Y2" s="10">
        <v>43194</v>
      </c>
      <c r="Z2" s="11">
        <v>9900333496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0.49978600000000001</v>
      </c>
      <c r="AG2" s="11" t="s">
        <v>45</v>
      </c>
    </row>
    <row r="3" spans="1:33" x14ac:dyDescent="0.2">
      <c r="A3" s="8">
        <v>294</v>
      </c>
      <c r="B3" s="9" t="s">
        <v>33</v>
      </c>
      <c r="C3" s="10">
        <v>43199</v>
      </c>
      <c r="D3" s="11">
        <v>43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"000255"</f>
        <v>000255</v>
      </c>
      <c r="M3" s="10">
        <v>43155</v>
      </c>
      <c r="N3" s="11" t="str">
        <f>"000158"</f>
        <v>000158</v>
      </c>
      <c r="O3" s="10">
        <v>43176</v>
      </c>
      <c r="P3" s="11" t="str">
        <f>"000267"</f>
        <v>000267</v>
      </c>
      <c r="Q3" s="10">
        <v>43176</v>
      </c>
      <c r="R3" s="11">
        <v>18</v>
      </c>
      <c r="S3" s="11" t="str">
        <f>"000362"</f>
        <v>000362</v>
      </c>
      <c r="T3" s="10">
        <v>43196</v>
      </c>
      <c r="U3" s="14">
        <v>49.791710000000002</v>
      </c>
      <c r="V3" s="14">
        <v>4.9165299999999998</v>
      </c>
      <c r="W3" s="14">
        <v>44.87518</v>
      </c>
      <c r="X3" s="11">
        <v>8</v>
      </c>
      <c r="Y3" s="10">
        <v>43199</v>
      </c>
      <c r="Z3" s="11">
        <v>9900333496</v>
      </c>
      <c r="AA3" s="12" t="s">
        <v>48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0.4979171</v>
      </c>
      <c r="AG3" s="11" t="s">
        <v>45</v>
      </c>
    </row>
    <row r="4" spans="1:33" x14ac:dyDescent="0.2">
      <c r="A4" s="8">
        <v>357</v>
      </c>
      <c r="B4" s="9" t="s">
        <v>33</v>
      </c>
      <c r="C4" s="10">
        <v>43200</v>
      </c>
      <c r="D4" s="11">
        <v>43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49</v>
      </c>
      <c r="J4" s="12" t="s">
        <v>50</v>
      </c>
      <c r="K4" s="13" t="s">
        <v>51</v>
      </c>
      <c r="L4" s="11" t="str">
        <f>"000010"</f>
        <v>000010</v>
      </c>
      <c r="M4" s="10">
        <v>42458</v>
      </c>
      <c r="N4" s="11" t="str">
        <f>"0.0017"</f>
        <v>0.0017</v>
      </c>
      <c r="O4" s="10">
        <v>42630</v>
      </c>
      <c r="P4" s="11" t="str">
        <f>"000523"</f>
        <v>000523</v>
      </c>
      <c r="Q4" s="10">
        <v>42685</v>
      </c>
      <c r="R4" s="11">
        <v>16</v>
      </c>
      <c r="S4" s="11" t="str">
        <f>"000394"</f>
        <v>000394</v>
      </c>
      <c r="T4" s="10">
        <v>43197</v>
      </c>
      <c r="U4" s="14">
        <v>9.9885999999999999</v>
      </c>
      <c r="V4" s="14">
        <v>1.5554600000000001</v>
      </c>
      <c r="W4" s="14">
        <v>8.4331399999999999</v>
      </c>
      <c r="X4" s="11">
        <v>10</v>
      </c>
      <c r="Y4" s="10">
        <v>43200</v>
      </c>
      <c r="Z4" s="11">
        <v>9945017783</v>
      </c>
      <c r="AA4" s="12" t="s">
        <v>52</v>
      </c>
      <c r="AB4" s="11" t="s">
        <v>53</v>
      </c>
      <c r="AC4" s="12" t="s">
        <v>54</v>
      </c>
      <c r="AD4" s="11" t="s">
        <v>55</v>
      </c>
      <c r="AE4" s="12" t="s">
        <v>56</v>
      </c>
      <c r="AF4" s="14">
        <v>9.9886000000000003E-2</v>
      </c>
      <c r="AG4" s="11" t="s">
        <v>45</v>
      </c>
    </row>
    <row r="5" spans="1:33" x14ac:dyDescent="0.2">
      <c r="A5" s="8">
        <v>567</v>
      </c>
      <c r="B5" s="9" t="s">
        <v>33</v>
      </c>
      <c r="C5" s="10">
        <v>43213</v>
      </c>
      <c r="D5" s="11">
        <v>43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57</v>
      </c>
      <c r="J5" s="12" t="s">
        <v>58</v>
      </c>
      <c r="K5" s="13" t="s">
        <v>59</v>
      </c>
      <c r="L5" s="11" t="str">
        <f>"000263"</f>
        <v>000263</v>
      </c>
      <c r="M5" s="10">
        <v>43155</v>
      </c>
      <c r="N5" s="11" t="str">
        <f>"000164"</f>
        <v>000164</v>
      </c>
      <c r="O5" s="10">
        <v>43180</v>
      </c>
      <c r="P5" s="11" t="str">
        <f>"000283"</f>
        <v>000283</v>
      </c>
      <c r="Q5" s="10">
        <v>43181</v>
      </c>
      <c r="R5" s="11">
        <v>18</v>
      </c>
      <c r="S5" s="11" t="str">
        <f>"000559"</f>
        <v>000559</v>
      </c>
      <c r="T5" s="10">
        <v>43203</v>
      </c>
      <c r="U5" s="14">
        <v>19.99654</v>
      </c>
      <c r="V5" s="14">
        <v>2.3036799999999999</v>
      </c>
      <c r="W5" s="14">
        <v>17.69286</v>
      </c>
      <c r="X5" s="11">
        <v>21</v>
      </c>
      <c r="Y5" s="10">
        <v>43213</v>
      </c>
      <c r="Z5" s="11">
        <v>9900333496</v>
      </c>
      <c r="AA5" s="12" t="s">
        <v>48</v>
      </c>
      <c r="AB5" s="11" t="s">
        <v>60</v>
      </c>
      <c r="AC5" s="12" t="s">
        <v>61</v>
      </c>
      <c r="AD5" s="11" t="s">
        <v>43</v>
      </c>
      <c r="AE5" s="12" t="s">
        <v>44</v>
      </c>
      <c r="AF5" s="14">
        <v>0.19996539999999999</v>
      </c>
      <c r="AG5" s="11" t="s">
        <v>45</v>
      </c>
    </row>
    <row r="6" spans="1:33" x14ac:dyDescent="0.2">
      <c r="A6" s="8">
        <v>568</v>
      </c>
      <c r="B6" s="9" t="s">
        <v>33</v>
      </c>
      <c r="C6" s="10">
        <v>43213</v>
      </c>
      <c r="D6" s="11">
        <v>43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62</v>
      </c>
      <c r="J6" s="12" t="s">
        <v>63</v>
      </c>
      <c r="K6" s="13" t="s">
        <v>39</v>
      </c>
      <c r="L6" s="11" t="str">
        <f>"000141"</f>
        <v>000141</v>
      </c>
      <c r="M6" s="10">
        <v>43131</v>
      </c>
      <c r="N6" s="11" t="str">
        <f>"000173"</f>
        <v>000173</v>
      </c>
      <c r="O6" s="10">
        <v>43181</v>
      </c>
      <c r="P6" s="11" t="str">
        <f>"000280"</f>
        <v>000280</v>
      </c>
      <c r="Q6" s="10">
        <v>43181</v>
      </c>
      <c r="R6" s="11">
        <v>18</v>
      </c>
      <c r="S6" s="11" t="str">
        <f>"000560"</f>
        <v>000560</v>
      </c>
      <c r="T6" s="10">
        <v>43203</v>
      </c>
      <c r="U6" s="14">
        <v>19.606750000000002</v>
      </c>
      <c r="V6" s="14">
        <v>2.2774999999999999</v>
      </c>
      <c r="W6" s="14">
        <v>17.329249999999998</v>
      </c>
      <c r="X6" s="11">
        <v>21</v>
      </c>
      <c r="Y6" s="10">
        <v>43213</v>
      </c>
      <c r="Z6" s="11">
        <v>9900333496</v>
      </c>
      <c r="AA6" s="12" t="s">
        <v>48</v>
      </c>
      <c r="AB6" s="11" t="s">
        <v>60</v>
      </c>
      <c r="AC6" s="12" t="s">
        <v>61</v>
      </c>
      <c r="AD6" s="11" t="s">
        <v>43</v>
      </c>
      <c r="AE6" s="12" t="s">
        <v>44</v>
      </c>
      <c r="AF6" s="14">
        <v>0.19606750000000001</v>
      </c>
      <c r="AG6" s="11" t="s">
        <v>45</v>
      </c>
    </row>
    <row r="7" spans="1:33" x14ac:dyDescent="0.2">
      <c r="A7" s="8">
        <v>569</v>
      </c>
      <c r="B7" s="9" t="s">
        <v>33</v>
      </c>
      <c r="C7" s="10">
        <v>43213</v>
      </c>
      <c r="D7" s="11">
        <v>43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64</v>
      </c>
      <c r="J7" s="12" t="s">
        <v>65</v>
      </c>
      <c r="K7" s="13" t="s">
        <v>59</v>
      </c>
      <c r="L7" s="11" t="str">
        <f>"000123"</f>
        <v>000123</v>
      </c>
      <c r="M7" s="10">
        <v>43124</v>
      </c>
      <c r="N7" s="11" t="str">
        <f>"000174"</f>
        <v>000174</v>
      </c>
      <c r="O7" s="10">
        <v>43181</v>
      </c>
      <c r="P7" s="11" t="str">
        <f>"000278"</f>
        <v>000278</v>
      </c>
      <c r="Q7" s="10">
        <v>43181</v>
      </c>
      <c r="R7" s="11">
        <v>18</v>
      </c>
      <c r="S7" s="11" t="str">
        <f>"000561"</f>
        <v>000561</v>
      </c>
      <c r="T7" s="10">
        <v>43203</v>
      </c>
      <c r="U7" s="14">
        <v>19.970089999999999</v>
      </c>
      <c r="V7" s="14">
        <v>2.2627899999999999</v>
      </c>
      <c r="W7" s="14">
        <v>17.7073</v>
      </c>
      <c r="X7" s="11">
        <v>21</v>
      </c>
      <c r="Y7" s="10">
        <v>43213</v>
      </c>
      <c r="Z7" s="11">
        <v>9900333496</v>
      </c>
      <c r="AA7" s="12" t="s">
        <v>40</v>
      </c>
      <c r="AB7" s="11" t="s">
        <v>60</v>
      </c>
      <c r="AC7" s="12" t="s">
        <v>61</v>
      </c>
      <c r="AD7" s="11" t="s">
        <v>43</v>
      </c>
      <c r="AE7" s="12" t="s">
        <v>44</v>
      </c>
      <c r="AF7" s="14">
        <v>0.19970089999999999</v>
      </c>
      <c r="AG7" s="11" t="s">
        <v>45</v>
      </c>
    </row>
    <row r="8" spans="1:33" x14ac:dyDescent="0.2">
      <c r="A8" s="8">
        <v>570</v>
      </c>
      <c r="B8" s="9" t="s">
        <v>33</v>
      </c>
      <c r="C8" s="10">
        <v>43213</v>
      </c>
      <c r="D8" s="11">
        <v>43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66</v>
      </c>
      <c r="J8" s="12" t="s">
        <v>67</v>
      </c>
      <c r="K8" s="13" t="s">
        <v>59</v>
      </c>
      <c r="L8" s="11" t="str">
        <f>"000137"</f>
        <v>000137</v>
      </c>
      <c r="M8" s="10">
        <v>43127</v>
      </c>
      <c r="N8" s="11" t="str">
        <f>"000166"</f>
        <v>000166</v>
      </c>
      <c r="O8" s="10">
        <v>43180</v>
      </c>
      <c r="P8" s="11" t="str">
        <f>"000281"</f>
        <v>000281</v>
      </c>
      <c r="Q8" s="10">
        <v>43181</v>
      </c>
      <c r="R8" s="11">
        <v>18</v>
      </c>
      <c r="S8" s="11" t="str">
        <f>"000562"</f>
        <v>000562</v>
      </c>
      <c r="T8" s="10">
        <v>43203</v>
      </c>
      <c r="U8" s="14">
        <v>19.910530000000001</v>
      </c>
      <c r="V8" s="14">
        <v>2.3853499999999999</v>
      </c>
      <c r="W8" s="14">
        <v>17.525179999999999</v>
      </c>
      <c r="X8" s="11">
        <v>21</v>
      </c>
      <c r="Y8" s="10">
        <v>43213</v>
      </c>
      <c r="Z8" s="11">
        <v>9900333496</v>
      </c>
      <c r="AA8" s="12" t="s">
        <v>48</v>
      </c>
      <c r="AB8" s="11" t="s">
        <v>60</v>
      </c>
      <c r="AC8" s="12" t="s">
        <v>61</v>
      </c>
      <c r="AD8" s="11" t="s">
        <v>43</v>
      </c>
      <c r="AE8" s="12" t="s">
        <v>44</v>
      </c>
      <c r="AF8" s="14">
        <v>0.19910530000000001</v>
      </c>
      <c r="AG8" s="11" t="s">
        <v>45</v>
      </c>
    </row>
    <row r="9" spans="1:33" x14ac:dyDescent="0.2">
      <c r="A9" s="8">
        <v>571</v>
      </c>
      <c r="B9" s="9" t="s">
        <v>33</v>
      </c>
      <c r="C9" s="10">
        <v>43213</v>
      </c>
      <c r="D9" s="11">
        <v>43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68</v>
      </c>
      <c r="J9" s="12" t="s">
        <v>69</v>
      </c>
      <c r="K9" s="13" t="s">
        <v>39</v>
      </c>
      <c r="L9" s="11" t="str">
        <f>"000127"</f>
        <v>000127</v>
      </c>
      <c r="M9" s="10">
        <v>43124</v>
      </c>
      <c r="N9" s="11" t="str">
        <f>"000175"</f>
        <v>000175</v>
      </c>
      <c r="O9" s="10">
        <v>43181</v>
      </c>
      <c r="P9" s="11" t="str">
        <f>"000285"</f>
        <v>000285</v>
      </c>
      <c r="Q9" s="10">
        <v>43181</v>
      </c>
      <c r="R9" s="11">
        <v>18</v>
      </c>
      <c r="S9" s="11" t="str">
        <f>"000563"</f>
        <v>000563</v>
      </c>
      <c r="T9" s="10">
        <v>43203</v>
      </c>
      <c r="U9" s="14">
        <v>19.977</v>
      </c>
      <c r="V9" s="14">
        <v>2.2806299999999999</v>
      </c>
      <c r="W9" s="14">
        <v>17.696370000000002</v>
      </c>
      <c r="X9" s="11">
        <v>21</v>
      </c>
      <c r="Y9" s="10">
        <v>43213</v>
      </c>
      <c r="Z9" s="11">
        <v>9900333496</v>
      </c>
      <c r="AA9" s="12" t="s">
        <v>48</v>
      </c>
      <c r="AB9" s="11" t="s">
        <v>60</v>
      </c>
      <c r="AC9" s="12" t="s">
        <v>61</v>
      </c>
      <c r="AD9" s="11" t="s">
        <v>43</v>
      </c>
      <c r="AE9" s="12" t="s">
        <v>44</v>
      </c>
      <c r="AF9" s="14">
        <v>0.19977</v>
      </c>
      <c r="AG9" s="11" t="s">
        <v>45</v>
      </c>
    </row>
    <row r="10" spans="1:33" x14ac:dyDescent="0.2">
      <c r="A10" s="8">
        <v>572</v>
      </c>
      <c r="B10" s="9" t="s">
        <v>33</v>
      </c>
      <c r="C10" s="10">
        <v>43213</v>
      </c>
      <c r="D10" s="11">
        <v>43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70</v>
      </c>
      <c r="J10" s="12" t="s">
        <v>71</v>
      </c>
      <c r="K10" s="13" t="s">
        <v>39</v>
      </c>
      <c r="L10" s="11" t="str">
        <f>"000121"</f>
        <v>000121</v>
      </c>
      <c r="M10" s="10">
        <v>43124</v>
      </c>
      <c r="N10" s="11" t="str">
        <f>"000172"</f>
        <v>000172</v>
      </c>
      <c r="O10" s="10">
        <v>43180</v>
      </c>
      <c r="P10" s="11" t="str">
        <f>"000284"</f>
        <v>000284</v>
      </c>
      <c r="Q10" s="10">
        <v>43181</v>
      </c>
      <c r="R10" s="11">
        <v>18</v>
      </c>
      <c r="S10" s="11" t="str">
        <f>"000564"</f>
        <v>000564</v>
      </c>
      <c r="T10" s="10">
        <v>43203</v>
      </c>
      <c r="U10" s="14">
        <v>19.926030000000001</v>
      </c>
      <c r="V10" s="14">
        <v>2.26891</v>
      </c>
      <c r="W10" s="14">
        <v>17.657119999999999</v>
      </c>
      <c r="X10" s="11">
        <v>21</v>
      </c>
      <c r="Y10" s="10">
        <v>43213</v>
      </c>
      <c r="Z10" s="11">
        <v>0</v>
      </c>
      <c r="AA10" s="12" t="s">
        <v>48</v>
      </c>
      <c r="AB10" s="11" t="s">
        <v>60</v>
      </c>
      <c r="AC10" s="12" t="s">
        <v>61</v>
      </c>
      <c r="AD10" s="11" t="s">
        <v>43</v>
      </c>
      <c r="AE10" s="12" t="s">
        <v>44</v>
      </c>
      <c r="AF10" s="14">
        <v>0.1992603</v>
      </c>
      <c r="AG10" s="11" t="s">
        <v>45</v>
      </c>
    </row>
    <row r="11" spans="1:33" x14ac:dyDescent="0.2">
      <c r="A11" s="8">
        <v>573</v>
      </c>
      <c r="B11" s="9" t="s">
        <v>33</v>
      </c>
      <c r="C11" s="10">
        <v>43213</v>
      </c>
      <c r="D11" s="11">
        <v>43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72</v>
      </c>
      <c r="J11" s="12" t="s">
        <v>73</v>
      </c>
      <c r="K11" s="13" t="s">
        <v>59</v>
      </c>
      <c r="L11" s="11" t="str">
        <f>"000126"</f>
        <v>000126</v>
      </c>
      <c r="M11" s="10">
        <v>43124</v>
      </c>
      <c r="N11" s="11" t="str">
        <f>"000176"</f>
        <v>000176</v>
      </c>
      <c r="O11" s="10">
        <v>43181</v>
      </c>
      <c r="P11" s="11" t="str">
        <f>"000277"</f>
        <v>000277</v>
      </c>
      <c r="Q11" s="10">
        <v>43181</v>
      </c>
      <c r="R11" s="11">
        <v>18</v>
      </c>
      <c r="S11" s="11" t="str">
        <f>"000565"</f>
        <v>000565</v>
      </c>
      <c r="T11" s="10">
        <v>43203</v>
      </c>
      <c r="U11" s="14">
        <v>19.991029999999999</v>
      </c>
      <c r="V11" s="14">
        <v>2.4796</v>
      </c>
      <c r="W11" s="14">
        <v>17.511430000000001</v>
      </c>
      <c r="X11" s="11">
        <v>21</v>
      </c>
      <c r="Y11" s="10">
        <v>43213</v>
      </c>
      <c r="Z11" s="11">
        <v>9900333496</v>
      </c>
      <c r="AA11" s="12" t="s">
        <v>48</v>
      </c>
      <c r="AB11" s="11" t="s">
        <v>60</v>
      </c>
      <c r="AC11" s="12" t="s">
        <v>61</v>
      </c>
      <c r="AD11" s="11" t="s">
        <v>43</v>
      </c>
      <c r="AE11" s="12" t="s">
        <v>44</v>
      </c>
      <c r="AF11" s="14">
        <v>0.19991029999999999</v>
      </c>
      <c r="AG11" s="11" t="s">
        <v>45</v>
      </c>
    </row>
    <row r="12" spans="1:33" x14ac:dyDescent="0.2">
      <c r="A12" s="8">
        <v>574</v>
      </c>
      <c r="B12" s="9" t="s">
        <v>33</v>
      </c>
      <c r="C12" s="10">
        <v>43213</v>
      </c>
      <c r="D12" s="11">
        <v>43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74</v>
      </c>
      <c r="J12" s="12" t="s">
        <v>75</v>
      </c>
      <c r="K12" s="13" t="s">
        <v>59</v>
      </c>
      <c r="L12" s="11" t="str">
        <f>"000128"</f>
        <v>000128</v>
      </c>
      <c r="M12" s="10">
        <v>43124</v>
      </c>
      <c r="N12" s="11" t="str">
        <f>"000168"</f>
        <v>000168</v>
      </c>
      <c r="O12" s="10">
        <v>43180</v>
      </c>
      <c r="P12" s="11" t="str">
        <f>"000282"</f>
        <v>000282</v>
      </c>
      <c r="Q12" s="10">
        <v>43181</v>
      </c>
      <c r="R12" s="11">
        <v>18</v>
      </c>
      <c r="S12" s="11" t="str">
        <f>"000566"</f>
        <v>000566</v>
      </c>
      <c r="T12" s="10">
        <v>43203</v>
      </c>
      <c r="U12" s="14">
        <v>19.983560000000001</v>
      </c>
      <c r="V12" s="14">
        <v>2.21834</v>
      </c>
      <c r="W12" s="14">
        <v>17.765219999999999</v>
      </c>
      <c r="X12" s="11">
        <v>21</v>
      </c>
      <c r="Y12" s="10">
        <v>43213</v>
      </c>
      <c r="Z12" s="11">
        <v>9900333496</v>
      </c>
      <c r="AA12" s="12" t="s">
        <v>40</v>
      </c>
      <c r="AB12" s="11" t="s">
        <v>60</v>
      </c>
      <c r="AC12" s="12" t="s">
        <v>61</v>
      </c>
      <c r="AD12" s="11" t="s">
        <v>43</v>
      </c>
      <c r="AE12" s="12" t="s">
        <v>44</v>
      </c>
      <c r="AF12" s="14">
        <v>0.1998356</v>
      </c>
      <c r="AG12" s="11" t="s">
        <v>45</v>
      </c>
    </row>
    <row r="13" spans="1:33" x14ac:dyDescent="0.2">
      <c r="A13" s="8">
        <v>575</v>
      </c>
      <c r="B13" s="9" t="s">
        <v>33</v>
      </c>
      <c r="C13" s="10">
        <v>43213</v>
      </c>
      <c r="D13" s="11">
        <v>43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76</v>
      </c>
      <c r="J13" s="12" t="s">
        <v>77</v>
      </c>
      <c r="K13" s="13" t="s">
        <v>78</v>
      </c>
      <c r="L13" s="11" t="str">
        <f>"000133"</f>
        <v>000133</v>
      </c>
      <c r="M13" s="10">
        <v>43127</v>
      </c>
      <c r="N13" s="11" t="str">
        <f>"000165"</f>
        <v>000165</v>
      </c>
      <c r="O13" s="10">
        <v>43180</v>
      </c>
      <c r="P13" s="11" t="str">
        <f>"000286"</f>
        <v>000286</v>
      </c>
      <c r="Q13" s="10">
        <v>43181</v>
      </c>
      <c r="R13" s="11">
        <v>18</v>
      </c>
      <c r="S13" s="11" t="str">
        <f>"000567"</f>
        <v>000567</v>
      </c>
      <c r="T13" s="10">
        <v>43203</v>
      </c>
      <c r="U13" s="14">
        <v>9.9969400000000004</v>
      </c>
      <c r="V13" s="14">
        <v>1.06464</v>
      </c>
      <c r="W13" s="14">
        <v>8.9322999999999997</v>
      </c>
      <c r="X13" s="11">
        <v>21</v>
      </c>
      <c r="Y13" s="10">
        <v>43213</v>
      </c>
      <c r="Z13" s="11">
        <v>9900333496</v>
      </c>
      <c r="AA13" s="12" t="s">
        <v>48</v>
      </c>
      <c r="AB13" s="11" t="s">
        <v>60</v>
      </c>
      <c r="AC13" s="12" t="s">
        <v>61</v>
      </c>
      <c r="AD13" s="11" t="s">
        <v>43</v>
      </c>
      <c r="AE13" s="12" t="s">
        <v>44</v>
      </c>
      <c r="AF13" s="14">
        <v>9.99694E-2</v>
      </c>
      <c r="AG13" s="11" t="s">
        <v>45</v>
      </c>
    </row>
    <row r="14" spans="1:33" x14ac:dyDescent="0.2">
      <c r="A14" s="8">
        <v>651</v>
      </c>
      <c r="B14" s="9" t="s">
        <v>33</v>
      </c>
      <c r="C14" s="10">
        <v>43215</v>
      </c>
      <c r="D14" s="11">
        <v>43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79</v>
      </c>
      <c r="J14" s="12" t="s">
        <v>80</v>
      </c>
      <c r="K14" s="13" t="s">
        <v>39</v>
      </c>
      <c r="L14" s="11" t="str">
        <f>"000157"</f>
        <v>000157</v>
      </c>
      <c r="M14" s="10">
        <v>43191</v>
      </c>
      <c r="N14" s="11" t="str">
        <f>"000003"</f>
        <v>000003</v>
      </c>
      <c r="O14" s="10">
        <v>43194</v>
      </c>
      <c r="P14" s="11" t="str">
        <f>"000003"</f>
        <v>000003</v>
      </c>
      <c r="Q14" s="10">
        <v>43194</v>
      </c>
      <c r="R14" s="11">
        <v>17</v>
      </c>
      <c r="S14" s="11" t="str">
        <f>"000652"</f>
        <v>000652</v>
      </c>
      <c r="T14" s="10">
        <v>43214</v>
      </c>
      <c r="U14" s="14">
        <v>9.9550999999999998</v>
      </c>
      <c r="V14" s="14">
        <v>1.0557300000000001</v>
      </c>
      <c r="W14" s="14">
        <v>8.8993699999999993</v>
      </c>
      <c r="X14" s="11">
        <v>24</v>
      </c>
      <c r="Y14" s="10">
        <v>43215</v>
      </c>
      <c r="Z14" s="11">
        <v>9845007432</v>
      </c>
      <c r="AA14" s="12" t="s">
        <v>81</v>
      </c>
      <c r="AB14" s="11" t="s">
        <v>82</v>
      </c>
      <c r="AC14" s="12" t="s">
        <v>83</v>
      </c>
      <c r="AD14" s="11" t="s">
        <v>84</v>
      </c>
      <c r="AE14" s="12" t="s">
        <v>85</v>
      </c>
      <c r="AF14" s="14">
        <v>9.9551000000000001E-2</v>
      </c>
      <c r="AG14" s="11" t="s">
        <v>86</v>
      </c>
    </row>
    <row r="15" spans="1:33" x14ac:dyDescent="0.2">
      <c r="A15" s="8">
        <v>700</v>
      </c>
      <c r="B15" s="9" t="s">
        <v>33</v>
      </c>
      <c r="C15" s="10">
        <v>43216</v>
      </c>
      <c r="D15" s="11">
        <v>43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87</v>
      </c>
      <c r="J15" s="12" t="s">
        <v>88</v>
      </c>
      <c r="K15" s="13" t="s">
        <v>39</v>
      </c>
      <c r="L15" s="11" t="str">
        <f>"000135"</f>
        <v>000135</v>
      </c>
      <c r="M15" s="10">
        <v>43127</v>
      </c>
      <c r="N15" s="11" t="str">
        <f>"000005"</f>
        <v>000005</v>
      </c>
      <c r="O15" s="10">
        <v>43192</v>
      </c>
      <c r="P15" s="11" t="str">
        <f>"000004"</f>
        <v>000004</v>
      </c>
      <c r="Q15" s="10">
        <v>43192</v>
      </c>
      <c r="R15" s="11">
        <v>18</v>
      </c>
      <c r="S15" s="11" t="str">
        <f>"000638"</f>
        <v>000638</v>
      </c>
      <c r="T15" s="10">
        <v>43214</v>
      </c>
      <c r="U15" s="14">
        <v>19.686499999999999</v>
      </c>
      <c r="V15" s="14">
        <v>2.3302700000000001</v>
      </c>
      <c r="W15" s="14">
        <v>17.35623</v>
      </c>
      <c r="X15" s="11">
        <v>25</v>
      </c>
      <c r="Y15" s="10">
        <v>43216</v>
      </c>
      <c r="Z15" s="11">
        <v>9900333496</v>
      </c>
      <c r="AA15" s="12" t="s">
        <v>89</v>
      </c>
      <c r="AB15" s="11" t="s">
        <v>60</v>
      </c>
      <c r="AC15" s="12" t="s">
        <v>61</v>
      </c>
      <c r="AD15" s="11" t="s">
        <v>43</v>
      </c>
      <c r="AE15" s="12" t="s">
        <v>44</v>
      </c>
      <c r="AF15" s="14">
        <v>0.19686499999999998</v>
      </c>
      <c r="AG15" s="11" t="s">
        <v>90</v>
      </c>
    </row>
    <row r="16" spans="1:33" x14ac:dyDescent="0.2">
      <c r="A16" s="8">
        <v>701</v>
      </c>
      <c r="B16" s="9" t="s">
        <v>33</v>
      </c>
      <c r="C16" s="10">
        <v>43216</v>
      </c>
      <c r="D16" s="11">
        <v>43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91</v>
      </c>
      <c r="J16" s="12" t="s">
        <v>92</v>
      </c>
      <c r="K16" s="13" t="s">
        <v>39</v>
      </c>
      <c r="L16" s="11" t="str">
        <f>"000130"</f>
        <v>000130</v>
      </c>
      <c r="M16" s="10">
        <v>43124</v>
      </c>
      <c r="N16" s="11" t="str">
        <f>"000001"</f>
        <v>000001</v>
      </c>
      <c r="O16" s="10">
        <v>43192</v>
      </c>
      <c r="P16" s="11" t="str">
        <f>"000002"</f>
        <v>000002</v>
      </c>
      <c r="Q16" s="10">
        <v>43192</v>
      </c>
      <c r="R16" s="11">
        <v>18</v>
      </c>
      <c r="S16" s="11" t="str">
        <f>"000639"</f>
        <v>000639</v>
      </c>
      <c r="T16" s="10">
        <v>43214</v>
      </c>
      <c r="U16" s="14">
        <v>39.864939999999997</v>
      </c>
      <c r="V16" s="14">
        <v>4.80124</v>
      </c>
      <c r="W16" s="14">
        <v>35.063699999999997</v>
      </c>
      <c r="X16" s="11">
        <v>25</v>
      </c>
      <c r="Y16" s="10">
        <v>43216</v>
      </c>
      <c r="Z16" s="11">
        <v>9900333496</v>
      </c>
      <c r="AA16" s="12" t="s">
        <v>48</v>
      </c>
      <c r="AB16" s="11" t="s">
        <v>60</v>
      </c>
      <c r="AC16" s="12" t="s">
        <v>61</v>
      </c>
      <c r="AD16" s="11" t="s">
        <v>43</v>
      </c>
      <c r="AE16" s="12" t="s">
        <v>44</v>
      </c>
      <c r="AF16" s="14">
        <v>0.39864939999999999</v>
      </c>
      <c r="AG16" s="11" t="s">
        <v>90</v>
      </c>
    </row>
    <row r="17" spans="1:33" x14ac:dyDescent="0.2">
      <c r="A17" s="8">
        <v>702</v>
      </c>
      <c r="B17" s="9" t="s">
        <v>33</v>
      </c>
      <c r="C17" s="10">
        <v>43216</v>
      </c>
      <c r="D17" s="11">
        <v>43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93</v>
      </c>
      <c r="J17" s="12" t="s">
        <v>94</v>
      </c>
      <c r="K17" s="13" t="s">
        <v>39</v>
      </c>
      <c r="L17" s="11" t="str">
        <f>"000129"</f>
        <v>000129</v>
      </c>
      <c r="M17" s="10">
        <v>43124</v>
      </c>
      <c r="N17" s="11" t="str">
        <f>"000002"</f>
        <v>000002</v>
      </c>
      <c r="O17" s="10">
        <v>43192</v>
      </c>
      <c r="P17" s="11" t="str">
        <f>"000003"</f>
        <v>000003</v>
      </c>
      <c r="Q17" s="10">
        <v>43192</v>
      </c>
      <c r="R17" s="11">
        <v>18</v>
      </c>
      <c r="S17" s="11" t="str">
        <f>"000640"</f>
        <v>000640</v>
      </c>
      <c r="T17" s="10">
        <v>43214</v>
      </c>
      <c r="U17" s="14">
        <v>19.87781</v>
      </c>
      <c r="V17" s="14">
        <v>2.3401900000000002</v>
      </c>
      <c r="W17" s="14">
        <v>17.53762</v>
      </c>
      <c r="X17" s="11">
        <v>25</v>
      </c>
      <c r="Y17" s="10">
        <v>43216</v>
      </c>
      <c r="Z17" s="11">
        <v>9900333496</v>
      </c>
      <c r="AA17" s="12" t="s">
        <v>48</v>
      </c>
      <c r="AB17" s="11" t="s">
        <v>60</v>
      </c>
      <c r="AC17" s="12" t="s">
        <v>61</v>
      </c>
      <c r="AD17" s="11" t="s">
        <v>43</v>
      </c>
      <c r="AE17" s="12" t="s">
        <v>44</v>
      </c>
      <c r="AF17" s="14">
        <v>0.19877810000000001</v>
      </c>
      <c r="AG17" s="11" t="s">
        <v>90</v>
      </c>
    </row>
    <row r="18" spans="1:33" x14ac:dyDescent="0.2">
      <c r="A18" s="8">
        <v>703</v>
      </c>
      <c r="B18" s="9" t="s">
        <v>33</v>
      </c>
      <c r="C18" s="10">
        <v>43216</v>
      </c>
      <c r="D18" s="11">
        <v>43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95</v>
      </c>
      <c r="J18" s="12" t="s">
        <v>96</v>
      </c>
      <c r="K18" s="13" t="s">
        <v>39</v>
      </c>
      <c r="L18" s="11" t="str">
        <f>"000306"</f>
        <v>000306</v>
      </c>
      <c r="M18" s="10">
        <v>43159</v>
      </c>
      <c r="N18" s="11" t="str">
        <f>"000007"</f>
        <v>000007</v>
      </c>
      <c r="O18" s="10">
        <v>43195</v>
      </c>
      <c r="P18" s="11" t="str">
        <f>"000014"</f>
        <v>000014</v>
      </c>
      <c r="Q18" s="10">
        <v>43199</v>
      </c>
      <c r="R18" s="11">
        <v>18</v>
      </c>
      <c r="S18" s="11" t="str">
        <f>"000683"</f>
        <v>000683</v>
      </c>
      <c r="T18" s="10">
        <v>43215</v>
      </c>
      <c r="U18" s="14">
        <v>19.995450000000002</v>
      </c>
      <c r="V18" s="14">
        <v>1.9632499999999999</v>
      </c>
      <c r="W18" s="14">
        <v>18.0322</v>
      </c>
      <c r="X18" s="11">
        <v>27</v>
      </c>
      <c r="Y18" s="10">
        <v>43216</v>
      </c>
      <c r="Z18" s="11">
        <v>9900333496</v>
      </c>
      <c r="AA18" s="12" t="s">
        <v>48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0.19995450000000001</v>
      </c>
      <c r="AG18" s="11" t="s">
        <v>90</v>
      </c>
    </row>
    <row r="19" spans="1:33" x14ac:dyDescent="0.2">
      <c r="A19" s="8">
        <v>944</v>
      </c>
      <c r="B19" s="9" t="s">
        <v>97</v>
      </c>
      <c r="C19" s="10">
        <v>43229</v>
      </c>
      <c r="D19" s="11">
        <v>43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98</v>
      </c>
      <c r="J19" s="12" t="s">
        <v>99</v>
      </c>
      <c r="K19" s="13" t="s">
        <v>78</v>
      </c>
      <c r="L19" s="11" t="str">
        <f>"000103"</f>
        <v>000103</v>
      </c>
      <c r="M19" s="10">
        <v>43070</v>
      </c>
      <c r="N19" s="11" t="str">
        <f>"000069"</f>
        <v>000069</v>
      </c>
      <c r="O19" s="10">
        <v>43070</v>
      </c>
      <c r="P19" s="11" t="str">
        <f>"000113"</f>
        <v>000113</v>
      </c>
      <c r="Q19" s="10">
        <v>43070</v>
      </c>
      <c r="R19" s="11">
        <v>17</v>
      </c>
      <c r="S19" s="11" t="str">
        <f>"008960"</f>
        <v>008960</v>
      </c>
      <c r="T19" s="10">
        <v>43111</v>
      </c>
      <c r="U19" s="14">
        <v>584.34711000000004</v>
      </c>
      <c r="V19" s="14">
        <v>21.94502</v>
      </c>
      <c r="W19" s="14">
        <v>562.40209000000004</v>
      </c>
      <c r="X19" s="11">
        <v>43</v>
      </c>
      <c r="Y19" s="10">
        <v>43229</v>
      </c>
      <c r="Z19" s="11">
        <v>8023464924</v>
      </c>
      <c r="AA19" s="12" t="s">
        <v>100</v>
      </c>
      <c r="AB19" s="11" t="s">
        <v>101</v>
      </c>
      <c r="AC19" s="12" t="s">
        <v>102</v>
      </c>
      <c r="AD19" s="11" t="s">
        <v>43</v>
      </c>
      <c r="AE19" s="12" t="s">
        <v>44</v>
      </c>
      <c r="AF19" s="14">
        <v>5.8434711000000004</v>
      </c>
      <c r="AG19" s="11" t="s">
        <v>45</v>
      </c>
    </row>
    <row r="20" spans="1:33" x14ac:dyDescent="0.2">
      <c r="A20" s="8">
        <v>1297</v>
      </c>
      <c r="B20" s="9" t="s">
        <v>97</v>
      </c>
      <c r="C20" s="10">
        <v>43241</v>
      </c>
      <c r="D20" s="11">
        <v>43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103</v>
      </c>
      <c r="J20" s="12" t="s">
        <v>104</v>
      </c>
      <c r="K20" s="13" t="s">
        <v>39</v>
      </c>
      <c r="L20" s="11" t="str">
        <f>"000032"</f>
        <v>000032</v>
      </c>
      <c r="M20" s="10">
        <v>43216</v>
      </c>
      <c r="N20" s="11" t="str">
        <f>"000017"</f>
        <v>000017</v>
      </c>
      <c r="O20" s="10">
        <v>43216</v>
      </c>
      <c r="P20" s="11" t="str">
        <f>"000038"</f>
        <v>000038</v>
      </c>
      <c r="Q20" s="10">
        <v>43216</v>
      </c>
      <c r="R20" s="11">
        <v>18</v>
      </c>
      <c r="S20" s="11" t="str">
        <f>"001507"</f>
        <v>001507</v>
      </c>
      <c r="T20" s="10">
        <v>43237</v>
      </c>
      <c r="U20" s="14">
        <v>39.965600000000002</v>
      </c>
      <c r="V20" s="14">
        <v>4.0484400000000003</v>
      </c>
      <c r="W20" s="14">
        <v>35.917160000000003</v>
      </c>
      <c r="X20" s="11">
        <v>54</v>
      </c>
      <c r="Y20" s="10">
        <v>43241</v>
      </c>
      <c r="Z20" s="11">
        <v>9900333496</v>
      </c>
      <c r="AA20" s="12" t="s">
        <v>48</v>
      </c>
      <c r="AB20" s="11" t="s">
        <v>41</v>
      </c>
      <c r="AC20" s="12" t="s">
        <v>42</v>
      </c>
      <c r="AD20" s="11" t="s">
        <v>43</v>
      </c>
      <c r="AE20" s="12" t="s">
        <v>44</v>
      </c>
      <c r="AF20" s="14">
        <v>0.39965600000000001</v>
      </c>
      <c r="AG20" s="11" t="s">
        <v>86</v>
      </c>
    </row>
    <row r="21" spans="1:33" x14ac:dyDescent="0.2">
      <c r="A21" s="8">
        <v>1298</v>
      </c>
      <c r="B21" s="9" t="s">
        <v>97</v>
      </c>
      <c r="C21" s="10">
        <v>43241</v>
      </c>
      <c r="D21" s="11">
        <v>43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98</v>
      </c>
      <c r="J21" s="12" t="s">
        <v>99</v>
      </c>
      <c r="K21" s="13" t="s">
        <v>78</v>
      </c>
      <c r="L21" s="11" t="str">
        <f>"000103"</f>
        <v>000103</v>
      </c>
      <c r="M21" s="10">
        <v>43070</v>
      </c>
      <c r="N21" s="11" t="str">
        <f>"000069"</f>
        <v>000069</v>
      </c>
      <c r="O21" s="10">
        <v>43070</v>
      </c>
      <c r="P21" s="11" t="str">
        <f>"000113"</f>
        <v>000113</v>
      </c>
      <c r="Q21" s="10">
        <v>43070</v>
      </c>
      <c r="R21" s="11">
        <v>17</v>
      </c>
      <c r="S21" s="11" t="str">
        <f>"008960"</f>
        <v>008960</v>
      </c>
      <c r="T21" s="10">
        <v>43111</v>
      </c>
      <c r="U21" s="14">
        <v>38.782060000000001</v>
      </c>
      <c r="V21" s="14">
        <v>1.50959</v>
      </c>
      <c r="W21" s="14">
        <v>37.272469999999998</v>
      </c>
      <c r="X21" s="11">
        <v>55</v>
      </c>
      <c r="Y21" s="10">
        <v>43241</v>
      </c>
      <c r="Z21" s="11">
        <v>8023464924</v>
      </c>
      <c r="AA21" s="12" t="s">
        <v>100</v>
      </c>
      <c r="AB21" s="11" t="s">
        <v>101</v>
      </c>
      <c r="AC21" s="12" t="s">
        <v>102</v>
      </c>
      <c r="AD21" s="11" t="s">
        <v>43</v>
      </c>
      <c r="AE21" s="12" t="s">
        <v>44</v>
      </c>
      <c r="AF21" s="14">
        <v>0.38782060000000002</v>
      </c>
      <c r="AG21" s="11" t="s">
        <v>45</v>
      </c>
    </row>
    <row r="22" spans="1:33" x14ac:dyDescent="0.2">
      <c r="A22" s="8">
        <v>1498</v>
      </c>
      <c r="B22" s="9" t="s">
        <v>97</v>
      </c>
      <c r="C22" s="10">
        <v>43251</v>
      </c>
      <c r="D22" s="11">
        <v>43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105</v>
      </c>
      <c r="J22" s="12" t="s">
        <v>106</v>
      </c>
      <c r="K22" s="13" t="s">
        <v>78</v>
      </c>
      <c r="L22" s="11" t="str">
        <f>"000500"</f>
        <v>000500</v>
      </c>
      <c r="M22" s="10">
        <v>42094</v>
      </c>
      <c r="N22" s="11" t="str">
        <f>"000213"</f>
        <v>000213</v>
      </c>
      <c r="O22" s="10">
        <v>42500</v>
      </c>
      <c r="P22" s="11" t="str">
        <f>"000507"</f>
        <v>000507</v>
      </c>
      <c r="Q22" s="10">
        <v>42613</v>
      </c>
      <c r="R22" s="11">
        <v>15</v>
      </c>
      <c r="S22" s="11" t="str">
        <f>"001742"</f>
        <v>001742</v>
      </c>
      <c r="T22" s="10">
        <v>43242</v>
      </c>
      <c r="U22" s="14">
        <v>9.8996899999999997</v>
      </c>
      <c r="V22" s="14">
        <v>1.36483</v>
      </c>
      <c r="W22" s="14">
        <v>8.5348600000000001</v>
      </c>
      <c r="X22" s="11">
        <v>67</v>
      </c>
      <c r="Y22" s="10">
        <v>43251</v>
      </c>
      <c r="Z22" s="11">
        <v>9900333496</v>
      </c>
      <c r="AA22" s="12" t="s">
        <v>107</v>
      </c>
      <c r="AB22" s="11" t="s">
        <v>108</v>
      </c>
      <c r="AC22" s="12" t="s">
        <v>109</v>
      </c>
      <c r="AD22" s="11" t="s">
        <v>43</v>
      </c>
      <c r="AE22" s="12" t="s">
        <v>44</v>
      </c>
      <c r="AF22" s="14">
        <v>9.8996899999999999E-2</v>
      </c>
      <c r="AG22" s="11" t="s">
        <v>45</v>
      </c>
    </row>
    <row r="23" spans="1:33" x14ac:dyDescent="0.2">
      <c r="A23" s="8">
        <v>1499</v>
      </c>
      <c r="B23" s="9" t="s">
        <v>97</v>
      </c>
      <c r="C23" s="10">
        <v>43251</v>
      </c>
      <c r="D23" s="11">
        <v>43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110</v>
      </c>
      <c r="J23" s="12" t="s">
        <v>111</v>
      </c>
      <c r="K23" s="13" t="s">
        <v>78</v>
      </c>
      <c r="L23" s="11" t="str">
        <f>"000502"</f>
        <v>000502</v>
      </c>
      <c r="M23" s="10">
        <v>42094</v>
      </c>
      <c r="N23" s="11" t="str">
        <f>"000212"</f>
        <v>000212</v>
      </c>
      <c r="O23" s="10">
        <v>42502</v>
      </c>
      <c r="P23" s="11" t="str">
        <f>"000509"</f>
        <v>000509</v>
      </c>
      <c r="Q23" s="10">
        <v>42613</v>
      </c>
      <c r="R23" s="11">
        <v>15</v>
      </c>
      <c r="S23" s="11" t="str">
        <f>"001743"</f>
        <v>001743</v>
      </c>
      <c r="T23" s="10">
        <v>43242</v>
      </c>
      <c r="U23" s="14">
        <v>19.820209999999999</v>
      </c>
      <c r="V23" s="14">
        <v>2.8182700000000001</v>
      </c>
      <c r="W23" s="14">
        <v>17.001940000000001</v>
      </c>
      <c r="X23" s="11">
        <v>67</v>
      </c>
      <c r="Y23" s="10">
        <v>43251</v>
      </c>
      <c r="Z23" s="11">
        <v>9900333496</v>
      </c>
      <c r="AA23" s="12" t="s">
        <v>112</v>
      </c>
      <c r="AB23" s="11" t="s">
        <v>108</v>
      </c>
      <c r="AC23" s="12" t="s">
        <v>109</v>
      </c>
      <c r="AD23" s="11" t="s">
        <v>43</v>
      </c>
      <c r="AE23" s="12" t="s">
        <v>44</v>
      </c>
      <c r="AF23" s="14">
        <v>0.19820209999999999</v>
      </c>
      <c r="AG23" s="11" t="s">
        <v>45</v>
      </c>
    </row>
    <row r="24" spans="1:33" x14ac:dyDescent="0.2">
      <c r="A24" s="8">
        <v>1500</v>
      </c>
      <c r="B24" s="9" t="s">
        <v>97</v>
      </c>
      <c r="C24" s="10">
        <v>43251</v>
      </c>
      <c r="D24" s="11">
        <v>43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113</v>
      </c>
      <c r="J24" s="12" t="s">
        <v>114</v>
      </c>
      <c r="K24" s="13" t="s">
        <v>78</v>
      </c>
      <c r="L24" s="11" t="str">
        <f>"000556"</f>
        <v>000556</v>
      </c>
      <c r="M24" s="10">
        <v>41349</v>
      </c>
      <c r="N24" s="11" t="str">
        <f>"000211"</f>
        <v>000211</v>
      </c>
      <c r="O24" s="10">
        <v>42500</v>
      </c>
      <c r="P24" s="11" t="str">
        <f>"000510"</f>
        <v>000510</v>
      </c>
      <c r="Q24" s="10">
        <v>42613</v>
      </c>
      <c r="R24" s="11">
        <v>13</v>
      </c>
      <c r="S24" s="11" t="str">
        <f>"001744"</f>
        <v>001744</v>
      </c>
      <c r="T24" s="10">
        <v>43242</v>
      </c>
      <c r="U24" s="14">
        <v>19.810479999999998</v>
      </c>
      <c r="V24" s="14">
        <v>2.6460699999999999</v>
      </c>
      <c r="W24" s="14">
        <v>17.16441</v>
      </c>
      <c r="X24" s="11">
        <v>67</v>
      </c>
      <c r="Y24" s="10">
        <v>43251</v>
      </c>
      <c r="Z24" s="11">
        <v>9900333496</v>
      </c>
      <c r="AA24" s="12" t="s">
        <v>107</v>
      </c>
      <c r="AB24" s="11" t="s">
        <v>115</v>
      </c>
      <c r="AC24" s="12" t="s">
        <v>116</v>
      </c>
      <c r="AD24" s="11" t="s">
        <v>43</v>
      </c>
      <c r="AE24" s="12" t="s">
        <v>44</v>
      </c>
      <c r="AF24" s="14">
        <v>0.19810479999999997</v>
      </c>
      <c r="AG24" s="11" t="s">
        <v>45</v>
      </c>
    </row>
    <row r="25" spans="1:33" x14ac:dyDescent="0.2">
      <c r="A25" s="8">
        <v>1501</v>
      </c>
      <c r="B25" s="9" t="s">
        <v>97</v>
      </c>
      <c r="C25" s="10">
        <v>43251</v>
      </c>
      <c r="D25" s="11">
        <v>43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117</v>
      </c>
      <c r="J25" s="12" t="s">
        <v>118</v>
      </c>
      <c r="K25" s="13" t="s">
        <v>78</v>
      </c>
      <c r="L25" s="11" t="str">
        <f>" 00499"</f>
        <v xml:space="preserve"> 00499</v>
      </c>
      <c r="M25" s="10">
        <v>42094</v>
      </c>
      <c r="N25" s="11" t="str">
        <f>"000255"</f>
        <v>000255</v>
      </c>
      <c r="O25" s="10">
        <v>42513</v>
      </c>
      <c r="P25" s="11" t="str">
        <f>"000521"</f>
        <v>000521</v>
      </c>
      <c r="Q25" s="10">
        <v>42613</v>
      </c>
      <c r="R25" s="11">
        <v>15</v>
      </c>
      <c r="S25" s="11" t="str">
        <f>"001748"</f>
        <v>001748</v>
      </c>
      <c r="T25" s="10">
        <v>43242</v>
      </c>
      <c r="U25" s="14">
        <v>44.693620000000003</v>
      </c>
      <c r="V25" s="14">
        <v>6.1313800000000001</v>
      </c>
      <c r="W25" s="14">
        <v>38.562240000000003</v>
      </c>
      <c r="X25" s="11">
        <v>67</v>
      </c>
      <c r="Y25" s="10">
        <v>43251</v>
      </c>
      <c r="Z25" s="11">
        <v>9900333496</v>
      </c>
      <c r="AA25" s="12" t="s">
        <v>107</v>
      </c>
      <c r="AB25" s="11" t="s">
        <v>108</v>
      </c>
      <c r="AC25" s="12" t="s">
        <v>109</v>
      </c>
      <c r="AD25" s="11" t="s">
        <v>43</v>
      </c>
      <c r="AE25" s="12" t="s">
        <v>44</v>
      </c>
      <c r="AF25" s="14">
        <v>0.44693620000000001</v>
      </c>
      <c r="AG25" s="11" t="s">
        <v>45</v>
      </c>
    </row>
    <row r="26" spans="1:33" x14ac:dyDescent="0.2">
      <c r="A26" s="8">
        <v>1502</v>
      </c>
      <c r="B26" s="9" t="s">
        <v>97</v>
      </c>
      <c r="C26" s="10">
        <v>43251</v>
      </c>
      <c r="D26" s="11">
        <v>43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119</v>
      </c>
      <c r="J26" s="12" t="s">
        <v>120</v>
      </c>
      <c r="K26" s="13" t="s">
        <v>78</v>
      </c>
      <c r="L26" s="11" t="str">
        <f>"000503"</f>
        <v>000503</v>
      </c>
      <c r="M26" s="10">
        <v>42094</v>
      </c>
      <c r="N26" s="11" t="str">
        <f>"000258"</f>
        <v>000258</v>
      </c>
      <c r="O26" s="10">
        <v>42515</v>
      </c>
      <c r="P26" s="11" t="str">
        <f>"000527"</f>
        <v>000527</v>
      </c>
      <c r="Q26" s="10">
        <v>42613</v>
      </c>
      <c r="R26" s="11">
        <v>15</v>
      </c>
      <c r="S26" s="11" t="str">
        <f>"001750"</f>
        <v>001750</v>
      </c>
      <c r="T26" s="10">
        <v>43242</v>
      </c>
      <c r="U26" s="14">
        <v>19.81363</v>
      </c>
      <c r="V26" s="14">
        <v>2.81548</v>
      </c>
      <c r="W26" s="14">
        <v>16.998149999999999</v>
      </c>
      <c r="X26" s="11">
        <v>67</v>
      </c>
      <c r="Y26" s="10">
        <v>43251</v>
      </c>
      <c r="Z26" s="11">
        <v>9900333496</v>
      </c>
      <c r="AA26" s="12" t="s">
        <v>107</v>
      </c>
      <c r="AB26" s="11" t="s">
        <v>108</v>
      </c>
      <c r="AC26" s="12" t="s">
        <v>109</v>
      </c>
      <c r="AD26" s="11" t="s">
        <v>43</v>
      </c>
      <c r="AE26" s="12" t="s">
        <v>44</v>
      </c>
      <c r="AF26" s="14">
        <v>0.19813629999999999</v>
      </c>
      <c r="AG26" s="11" t="s">
        <v>45</v>
      </c>
    </row>
    <row r="27" spans="1:33" x14ac:dyDescent="0.2">
      <c r="A27" s="8">
        <v>1503</v>
      </c>
      <c r="B27" s="9" t="s">
        <v>97</v>
      </c>
      <c r="C27" s="10">
        <v>43251</v>
      </c>
      <c r="D27" s="11">
        <v>43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121</v>
      </c>
      <c r="J27" s="12" t="s">
        <v>122</v>
      </c>
      <c r="K27" s="13" t="s">
        <v>78</v>
      </c>
      <c r="L27" s="11" t="str">
        <f>"000498"</f>
        <v>000498</v>
      </c>
      <c r="M27" s="10">
        <v>42094</v>
      </c>
      <c r="N27" s="11" t="str">
        <f>"000219"</f>
        <v>000219</v>
      </c>
      <c r="O27" s="10">
        <v>42502</v>
      </c>
      <c r="P27" s="11" t="str">
        <f>"000528"</f>
        <v>000528</v>
      </c>
      <c r="Q27" s="10">
        <v>42613</v>
      </c>
      <c r="R27" s="11">
        <v>15</v>
      </c>
      <c r="S27" s="11" t="str">
        <f>"001751"</f>
        <v>001751</v>
      </c>
      <c r="T27" s="10">
        <v>43242</v>
      </c>
      <c r="U27" s="14">
        <v>39.143270000000001</v>
      </c>
      <c r="V27" s="14">
        <v>5.5227700000000004</v>
      </c>
      <c r="W27" s="14">
        <v>33.6205</v>
      </c>
      <c r="X27" s="11">
        <v>67</v>
      </c>
      <c r="Y27" s="10">
        <v>43251</v>
      </c>
      <c r="Z27" s="11">
        <v>9900333496</v>
      </c>
      <c r="AA27" s="12" t="s">
        <v>107</v>
      </c>
      <c r="AB27" s="11" t="s">
        <v>108</v>
      </c>
      <c r="AC27" s="12" t="s">
        <v>109</v>
      </c>
      <c r="AD27" s="11" t="s">
        <v>43</v>
      </c>
      <c r="AE27" s="12" t="s">
        <v>44</v>
      </c>
      <c r="AF27" s="14">
        <v>0.39143270000000002</v>
      </c>
      <c r="AG27" s="11" t="s">
        <v>45</v>
      </c>
    </row>
    <row r="28" spans="1:33" x14ac:dyDescent="0.2">
      <c r="A28" s="8">
        <v>1504</v>
      </c>
      <c r="B28" s="9" t="s">
        <v>97</v>
      </c>
      <c r="C28" s="10">
        <v>43251</v>
      </c>
      <c r="D28" s="11">
        <v>43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123</v>
      </c>
      <c r="J28" s="12" t="s">
        <v>124</v>
      </c>
      <c r="K28" s="13" t="s">
        <v>78</v>
      </c>
      <c r="L28" s="11" t="str">
        <f>"000504"</f>
        <v>000504</v>
      </c>
      <c r="M28" s="10">
        <v>42094</v>
      </c>
      <c r="N28" s="11" t="str">
        <f>"000218"</f>
        <v>000218</v>
      </c>
      <c r="O28" s="10">
        <v>42500</v>
      </c>
      <c r="P28" s="11" t="str">
        <f>"000529"</f>
        <v>000529</v>
      </c>
      <c r="Q28" s="10">
        <v>42613</v>
      </c>
      <c r="R28" s="11">
        <v>15</v>
      </c>
      <c r="S28" s="11" t="str">
        <f>"001752"</f>
        <v>001752</v>
      </c>
      <c r="T28" s="10">
        <v>43242</v>
      </c>
      <c r="U28" s="14">
        <v>15.653449999999999</v>
      </c>
      <c r="V28" s="14">
        <v>2.13117</v>
      </c>
      <c r="W28" s="14">
        <v>13.52228</v>
      </c>
      <c r="X28" s="11">
        <v>67</v>
      </c>
      <c r="Y28" s="10">
        <v>43251</v>
      </c>
      <c r="Z28" s="11">
        <v>9900333496</v>
      </c>
      <c r="AA28" s="12" t="s">
        <v>107</v>
      </c>
      <c r="AB28" s="11" t="s">
        <v>108</v>
      </c>
      <c r="AC28" s="12" t="s">
        <v>109</v>
      </c>
      <c r="AD28" s="11" t="s">
        <v>43</v>
      </c>
      <c r="AE28" s="12" t="s">
        <v>44</v>
      </c>
      <c r="AF28" s="14">
        <v>0.15653449999999999</v>
      </c>
      <c r="AG28" s="11" t="s">
        <v>45</v>
      </c>
    </row>
    <row r="29" spans="1:33" x14ac:dyDescent="0.2">
      <c r="A29" s="8">
        <v>1505</v>
      </c>
      <c r="B29" s="9" t="s">
        <v>97</v>
      </c>
      <c r="C29" s="10">
        <v>43251</v>
      </c>
      <c r="D29" s="11">
        <v>43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125</v>
      </c>
      <c r="J29" s="12" t="s">
        <v>126</v>
      </c>
      <c r="K29" s="13" t="s">
        <v>78</v>
      </c>
      <c r="L29" s="11" t="str">
        <f>"000501"</f>
        <v>000501</v>
      </c>
      <c r="M29" s="10">
        <v>42094</v>
      </c>
      <c r="N29" s="11" t="str">
        <f>"000257"</f>
        <v>000257</v>
      </c>
      <c r="O29" s="10">
        <v>42516</v>
      </c>
      <c r="P29" s="11" t="str">
        <f>"000530"</f>
        <v>000530</v>
      </c>
      <c r="Q29" s="10">
        <v>42613</v>
      </c>
      <c r="R29" s="11">
        <v>15</v>
      </c>
      <c r="S29" s="11" t="str">
        <f>"001753"</f>
        <v>001753</v>
      </c>
      <c r="T29" s="10">
        <v>43242</v>
      </c>
      <c r="U29" s="14">
        <v>14.862109999999999</v>
      </c>
      <c r="V29" s="14">
        <v>2.11477</v>
      </c>
      <c r="W29" s="14">
        <v>12.747339999999999</v>
      </c>
      <c r="X29" s="11">
        <v>67</v>
      </c>
      <c r="Y29" s="10">
        <v>43251</v>
      </c>
      <c r="Z29" s="11">
        <v>9900333496</v>
      </c>
      <c r="AA29" s="12" t="s">
        <v>107</v>
      </c>
      <c r="AB29" s="11" t="s">
        <v>108</v>
      </c>
      <c r="AC29" s="12" t="s">
        <v>109</v>
      </c>
      <c r="AD29" s="11" t="s">
        <v>43</v>
      </c>
      <c r="AE29" s="12" t="s">
        <v>44</v>
      </c>
      <c r="AF29" s="14">
        <v>0.14862110000000001</v>
      </c>
      <c r="AG29" s="11" t="s">
        <v>45</v>
      </c>
    </row>
    <row r="30" spans="1:33" x14ac:dyDescent="0.2">
      <c r="A30" s="8">
        <v>1506</v>
      </c>
      <c r="B30" s="9" t="s">
        <v>97</v>
      </c>
      <c r="C30" s="10">
        <v>43251</v>
      </c>
      <c r="D30" s="11">
        <v>43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127</v>
      </c>
      <c r="J30" s="12" t="s">
        <v>128</v>
      </c>
      <c r="K30" s="13" t="s">
        <v>78</v>
      </c>
      <c r="L30" s="11" t="str">
        <f>"000497"</f>
        <v>000497</v>
      </c>
      <c r="M30" s="10">
        <v>42094</v>
      </c>
      <c r="N30" s="11" t="str">
        <f>"000256"</f>
        <v>000256</v>
      </c>
      <c r="O30" s="10">
        <v>42514</v>
      </c>
      <c r="P30" s="11" t="str">
        <f>"000531"</f>
        <v>000531</v>
      </c>
      <c r="Q30" s="10">
        <v>42613</v>
      </c>
      <c r="R30" s="11">
        <v>15</v>
      </c>
      <c r="S30" s="11" t="str">
        <f>"001754"</f>
        <v>001754</v>
      </c>
      <c r="T30" s="10">
        <v>43242</v>
      </c>
      <c r="U30" s="14">
        <v>34.287559999999999</v>
      </c>
      <c r="V30" s="14">
        <v>4.7341800000000003</v>
      </c>
      <c r="W30" s="14">
        <v>29.553380000000001</v>
      </c>
      <c r="X30" s="11">
        <v>67</v>
      </c>
      <c r="Y30" s="10">
        <v>43251</v>
      </c>
      <c r="Z30" s="11">
        <v>9900333496</v>
      </c>
      <c r="AA30" s="12" t="s">
        <v>107</v>
      </c>
      <c r="AB30" s="11" t="s">
        <v>108</v>
      </c>
      <c r="AC30" s="12" t="s">
        <v>109</v>
      </c>
      <c r="AD30" s="11" t="s">
        <v>43</v>
      </c>
      <c r="AE30" s="12" t="s">
        <v>44</v>
      </c>
      <c r="AF30" s="14">
        <v>0.3428756</v>
      </c>
      <c r="AG30" s="11" t="s">
        <v>45</v>
      </c>
    </row>
    <row r="31" spans="1:33" x14ac:dyDescent="0.2">
      <c r="A31" s="8">
        <v>1771</v>
      </c>
      <c r="B31" s="9" t="s">
        <v>129</v>
      </c>
      <c r="C31" s="10">
        <v>43257</v>
      </c>
      <c r="D31" s="11">
        <v>43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130</v>
      </c>
      <c r="J31" s="12" t="s">
        <v>131</v>
      </c>
      <c r="K31" s="13" t="s">
        <v>59</v>
      </c>
      <c r="L31" s="11" t="str">
        <f>"000307"</f>
        <v>000307</v>
      </c>
      <c r="M31" s="10">
        <v>43159</v>
      </c>
      <c r="N31" s="11" t="str">
        <f>"000026"</f>
        <v>000026</v>
      </c>
      <c r="O31" s="10">
        <v>43229</v>
      </c>
      <c r="P31" s="11" t="str">
        <f>"000051"</f>
        <v>000051</v>
      </c>
      <c r="Q31" s="10">
        <v>43229</v>
      </c>
      <c r="R31" s="11">
        <v>18</v>
      </c>
      <c r="S31" s="11" t="str">
        <f>"002042"</f>
        <v>002042</v>
      </c>
      <c r="T31" s="10">
        <v>43249</v>
      </c>
      <c r="U31" s="14">
        <v>49.970790000000001</v>
      </c>
      <c r="V31" s="14">
        <v>5.3904899999999998</v>
      </c>
      <c r="W31" s="14">
        <v>44.580300000000001</v>
      </c>
      <c r="X31" s="11">
        <v>73</v>
      </c>
      <c r="Y31" s="10">
        <v>43257</v>
      </c>
      <c r="Z31" s="11">
        <v>9900333496</v>
      </c>
      <c r="AA31" s="12" t="s">
        <v>48</v>
      </c>
      <c r="AB31" s="11" t="s">
        <v>41</v>
      </c>
      <c r="AC31" s="12" t="s">
        <v>42</v>
      </c>
      <c r="AD31" s="11" t="s">
        <v>43</v>
      </c>
      <c r="AE31" s="12" t="s">
        <v>44</v>
      </c>
      <c r="AF31" s="14">
        <v>0.49970789999999998</v>
      </c>
      <c r="AG31" s="11" t="s">
        <v>90</v>
      </c>
    </row>
    <row r="32" spans="1:33" x14ac:dyDescent="0.2">
      <c r="A32" s="8">
        <v>2002</v>
      </c>
      <c r="B32" s="9" t="s">
        <v>129</v>
      </c>
      <c r="C32" s="10">
        <v>43262</v>
      </c>
      <c r="D32" s="11">
        <v>43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132</v>
      </c>
      <c r="J32" s="12" t="s">
        <v>133</v>
      </c>
      <c r="K32" s="13" t="s">
        <v>39</v>
      </c>
      <c r="L32" s="11" t="str">
        <f>"000214"</f>
        <v>000214</v>
      </c>
      <c r="M32" s="10">
        <v>42601</v>
      </c>
      <c r="N32" s="11" t="str">
        <f>"000273"</f>
        <v>000273</v>
      </c>
      <c r="O32" s="10">
        <v>42628</v>
      </c>
      <c r="P32" s="11" t="str">
        <f>"000601"</f>
        <v>000601</v>
      </c>
      <c r="Q32" s="10">
        <v>42630</v>
      </c>
      <c r="R32" s="11">
        <v>17</v>
      </c>
      <c r="S32" s="11" t="str">
        <f>"002296"</f>
        <v>002296</v>
      </c>
      <c r="T32" s="10">
        <v>43258</v>
      </c>
      <c r="U32" s="14">
        <v>19.781590000000001</v>
      </c>
      <c r="V32" s="14">
        <v>2.6570900000000002</v>
      </c>
      <c r="W32" s="14">
        <v>17.124500000000001</v>
      </c>
      <c r="X32" s="11">
        <v>80</v>
      </c>
      <c r="Y32" s="10">
        <v>43262</v>
      </c>
      <c r="Z32" s="11">
        <v>9900333496</v>
      </c>
      <c r="AA32" s="12" t="s">
        <v>48</v>
      </c>
      <c r="AB32" s="11" t="s">
        <v>134</v>
      </c>
      <c r="AC32" s="12" t="s">
        <v>135</v>
      </c>
      <c r="AD32" s="11" t="s">
        <v>43</v>
      </c>
      <c r="AE32" s="12" t="s">
        <v>44</v>
      </c>
      <c r="AF32" s="14">
        <v>0.19781590000000002</v>
      </c>
      <c r="AG32" s="11" t="s">
        <v>45</v>
      </c>
    </row>
    <row r="33" spans="1:33" x14ac:dyDescent="0.2">
      <c r="A33" s="8">
        <v>2169</v>
      </c>
      <c r="B33" s="9" t="s">
        <v>129</v>
      </c>
      <c r="C33" s="10">
        <v>43266</v>
      </c>
      <c r="D33" s="11">
        <v>43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136</v>
      </c>
      <c r="J33" s="12" t="s">
        <v>137</v>
      </c>
      <c r="K33" s="13" t="s">
        <v>39</v>
      </c>
      <c r="L33" s="11" t="str">
        <f>"000134"</f>
        <v>000134</v>
      </c>
      <c r="M33" s="10">
        <v>43127</v>
      </c>
      <c r="N33" s="11" t="str">
        <f>"000012"</f>
        <v>000012</v>
      </c>
      <c r="O33" s="10">
        <v>43202</v>
      </c>
      <c r="P33" s="11" t="str">
        <f>"000025"</f>
        <v>000025</v>
      </c>
      <c r="Q33" s="10">
        <v>43203</v>
      </c>
      <c r="R33" s="11">
        <v>18</v>
      </c>
      <c r="S33" s="11" t="str">
        <f>"002207"</f>
        <v>002207</v>
      </c>
      <c r="T33" s="10">
        <v>43257</v>
      </c>
      <c r="U33" s="14">
        <v>29.989709999999999</v>
      </c>
      <c r="V33" s="14">
        <v>3.5020899999999999</v>
      </c>
      <c r="W33" s="14">
        <v>26.48762</v>
      </c>
      <c r="X33" s="11">
        <v>87</v>
      </c>
      <c r="Y33" s="10">
        <v>43266</v>
      </c>
      <c r="Z33" s="11">
        <v>9900333496</v>
      </c>
      <c r="AA33" s="12" t="s">
        <v>48</v>
      </c>
      <c r="AB33" s="11" t="s">
        <v>60</v>
      </c>
      <c r="AC33" s="12" t="s">
        <v>61</v>
      </c>
      <c r="AD33" s="11" t="s">
        <v>43</v>
      </c>
      <c r="AE33" s="12" t="s">
        <v>44</v>
      </c>
      <c r="AF33" s="14">
        <v>0.29989709999999997</v>
      </c>
      <c r="AG33" s="11" t="s">
        <v>90</v>
      </c>
    </row>
    <row r="34" spans="1:33" x14ac:dyDescent="0.2">
      <c r="A34" s="8">
        <v>2244</v>
      </c>
      <c r="B34" s="9" t="s">
        <v>129</v>
      </c>
      <c r="C34" s="10">
        <v>43269</v>
      </c>
      <c r="D34" s="11">
        <v>43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138</v>
      </c>
      <c r="J34" s="12" t="s">
        <v>139</v>
      </c>
      <c r="K34" s="13" t="s">
        <v>78</v>
      </c>
      <c r="L34" s="11" t="str">
        <f>"000495"</f>
        <v>000495</v>
      </c>
      <c r="M34" s="10">
        <v>42094</v>
      </c>
      <c r="N34" s="11" t="str">
        <f>"000286"</f>
        <v>000286</v>
      </c>
      <c r="O34" s="10">
        <v>42633</v>
      </c>
      <c r="P34" s="11" t="str">
        <f>"000636"</f>
        <v>000636</v>
      </c>
      <c r="Q34" s="10">
        <v>42633</v>
      </c>
      <c r="R34" s="11">
        <v>15</v>
      </c>
      <c r="S34" s="11" t="str">
        <f>"002348"</f>
        <v>002348</v>
      </c>
      <c r="T34" s="10">
        <v>43262</v>
      </c>
      <c r="U34" s="14">
        <v>46.18038</v>
      </c>
      <c r="V34" s="14">
        <v>6.8526199999999999</v>
      </c>
      <c r="W34" s="14">
        <v>39.327759999999998</v>
      </c>
      <c r="X34" s="11">
        <v>90</v>
      </c>
      <c r="Y34" s="10">
        <v>43269</v>
      </c>
      <c r="Z34" s="11">
        <v>9900333496</v>
      </c>
      <c r="AA34" s="12" t="s">
        <v>107</v>
      </c>
      <c r="AB34" s="11" t="s">
        <v>108</v>
      </c>
      <c r="AC34" s="12" t="s">
        <v>109</v>
      </c>
      <c r="AD34" s="11" t="s">
        <v>43</v>
      </c>
      <c r="AE34" s="12" t="s">
        <v>44</v>
      </c>
      <c r="AF34" s="14">
        <v>0.46180379999999999</v>
      </c>
      <c r="AG34" s="11" t="s">
        <v>45</v>
      </c>
    </row>
    <row r="35" spans="1:33" x14ac:dyDescent="0.2">
      <c r="A35" s="8">
        <v>2245</v>
      </c>
      <c r="B35" s="9" t="s">
        <v>129</v>
      </c>
      <c r="C35" s="10">
        <v>43269</v>
      </c>
      <c r="D35" s="11">
        <v>43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140</v>
      </c>
      <c r="J35" s="12" t="s">
        <v>141</v>
      </c>
      <c r="K35" s="13" t="s">
        <v>78</v>
      </c>
      <c r="L35" s="11" t="str">
        <f>"000488"</f>
        <v>000488</v>
      </c>
      <c r="M35" s="10">
        <v>42094</v>
      </c>
      <c r="N35" s="11" t="str">
        <f>"000285"</f>
        <v>000285</v>
      </c>
      <c r="O35" s="10">
        <v>42633</v>
      </c>
      <c r="P35" s="11" t="str">
        <f>"000637"</f>
        <v>000637</v>
      </c>
      <c r="Q35" s="10">
        <v>42633</v>
      </c>
      <c r="R35" s="11">
        <v>15</v>
      </c>
      <c r="S35" s="11" t="str">
        <f>"002349"</f>
        <v>002349</v>
      </c>
      <c r="T35" s="10">
        <v>43262</v>
      </c>
      <c r="U35" s="14">
        <v>46.178359999999998</v>
      </c>
      <c r="V35" s="14">
        <v>6.5241899999999999</v>
      </c>
      <c r="W35" s="14">
        <v>39.654170000000001</v>
      </c>
      <c r="X35" s="11">
        <v>90</v>
      </c>
      <c r="Y35" s="10">
        <v>43269</v>
      </c>
      <c r="Z35" s="11">
        <v>9900333496</v>
      </c>
      <c r="AA35" s="12" t="s">
        <v>107</v>
      </c>
      <c r="AB35" s="11" t="s">
        <v>108</v>
      </c>
      <c r="AC35" s="12" t="s">
        <v>109</v>
      </c>
      <c r="AD35" s="11" t="s">
        <v>43</v>
      </c>
      <c r="AE35" s="12" t="s">
        <v>44</v>
      </c>
      <c r="AF35" s="14">
        <v>0.46178359999999996</v>
      </c>
      <c r="AG35" s="11" t="s">
        <v>45</v>
      </c>
    </row>
    <row r="36" spans="1:33" x14ac:dyDescent="0.2">
      <c r="A36" s="8">
        <v>2246</v>
      </c>
      <c r="B36" s="9" t="s">
        <v>129</v>
      </c>
      <c r="C36" s="10">
        <v>43269</v>
      </c>
      <c r="D36" s="11">
        <v>43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142</v>
      </c>
      <c r="J36" s="12" t="s">
        <v>143</v>
      </c>
      <c r="K36" s="13" t="s">
        <v>39</v>
      </c>
      <c r="L36" s="11" t="str">
        <f>"000215"</f>
        <v>000215</v>
      </c>
      <c r="M36" s="10">
        <v>42601</v>
      </c>
      <c r="N36" s="11" t="str">
        <f>"000296"</f>
        <v>000296</v>
      </c>
      <c r="O36" s="10">
        <v>42621</v>
      </c>
      <c r="P36" s="11" t="str">
        <f>"000642"</f>
        <v>000642</v>
      </c>
      <c r="Q36" s="10">
        <v>42633</v>
      </c>
      <c r="R36" s="11">
        <v>17</v>
      </c>
      <c r="S36" s="11" t="str">
        <f>"002350"</f>
        <v>002350</v>
      </c>
      <c r="T36" s="10">
        <v>43262</v>
      </c>
      <c r="U36" s="14">
        <v>9.9009199999999993</v>
      </c>
      <c r="V36" s="14">
        <v>1.3149900000000001</v>
      </c>
      <c r="W36" s="14">
        <v>8.5859299999999994</v>
      </c>
      <c r="X36" s="11">
        <v>90</v>
      </c>
      <c r="Y36" s="10">
        <v>43269</v>
      </c>
      <c r="Z36" s="11">
        <v>9900333496</v>
      </c>
      <c r="AA36" s="12" t="s">
        <v>48</v>
      </c>
      <c r="AB36" s="11" t="s">
        <v>134</v>
      </c>
      <c r="AC36" s="12" t="s">
        <v>135</v>
      </c>
      <c r="AD36" s="11" t="s">
        <v>43</v>
      </c>
      <c r="AE36" s="12" t="s">
        <v>44</v>
      </c>
      <c r="AF36" s="14">
        <v>9.9009199999999992E-2</v>
      </c>
      <c r="AG36" s="11" t="s">
        <v>45</v>
      </c>
    </row>
    <row r="37" spans="1:33" x14ac:dyDescent="0.2">
      <c r="A37" s="8">
        <v>2247</v>
      </c>
      <c r="B37" s="9" t="s">
        <v>129</v>
      </c>
      <c r="C37" s="10">
        <v>43269</v>
      </c>
      <c r="D37" s="11">
        <v>43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144</v>
      </c>
      <c r="J37" s="12" t="s">
        <v>145</v>
      </c>
      <c r="K37" s="13" t="s">
        <v>39</v>
      </c>
      <c r="L37" s="11" t="str">
        <f>"000220"</f>
        <v>000220</v>
      </c>
      <c r="M37" s="10">
        <v>42601</v>
      </c>
      <c r="N37" s="11" t="str">
        <f>"000302"</f>
        <v>000302</v>
      </c>
      <c r="O37" s="10">
        <v>42624</v>
      </c>
      <c r="P37" s="11" t="str">
        <f>"000647"</f>
        <v>000647</v>
      </c>
      <c r="Q37" s="10">
        <v>42633</v>
      </c>
      <c r="R37" s="11">
        <v>17</v>
      </c>
      <c r="S37" s="11" t="str">
        <f>"002353"</f>
        <v>002353</v>
      </c>
      <c r="T37" s="10">
        <v>43262</v>
      </c>
      <c r="U37" s="14">
        <v>19.791250000000002</v>
      </c>
      <c r="V37" s="14">
        <v>2.6726200000000002</v>
      </c>
      <c r="W37" s="14">
        <v>17.11863</v>
      </c>
      <c r="X37" s="11">
        <v>90</v>
      </c>
      <c r="Y37" s="10">
        <v>43269</v>
      </c>
      <c r="Z37" s="11">
        <v>9900333496</v>
      </c>
      <c r="AA37" s="12" t="s">
        <v>112</v>
      </c>
      <c r="AB37" s="11" t="s">
        <v>134</v>
      </c>
      <c r="AC37" s="12" t="s">
        <v>135</v>
      </c>
      <c r="AD37" s="11" t="s">
        <v>43</v>
      </c>
      <c r="AE37" s="12" t="s">
        <v>44</v>
      </c>
      <c r="AF37" s="14">
        <v>0.19791250000000002</v>
      </c>
      <c r="AG37" s="11" t="s">
        <v>45</v>
      </c>
    </row>
    <row r="38" spans="1:33" x14ac:dyDescent="0.2">
      <c r="A38" s="8">
        <v>2248</v>
      </c>
      <c r="B38" s="9" t="s">
        <v>129</v>
      </c>
      <c r="C38" s="10">
        <v>43269</v>
      </c>
      <c r="D38" s="11">
        <v>43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146</v>
      </c>
      <c r="J38" s="12" t="s">
        <v>147</v>
      </c>
      <c r="K38" s="13" t="s">
        <v>59</v>
      </c>
      <c r="L38" s="11" t="str">
        <f>"000210"</f>
        <v>000210</v>
      </c>
      <c r="M38" s="10">
        <v>42601</v>
      </c>
      <c r="N38" s="11" t="str">
        <f>"000300"</f>
        <v>000300</v>
      </c>
      <c r="O38" s="10">
        <v>42633</v>
      </c>
      <c r="P38" s="11" t="str">
        <f>"000662"</f>
        <v>000662</v>
      </c>
      <c r="Q38" s="10">
        <v>42633</v>
      </c>
      <c r="R38" s="11">
        <v>17</v>
      </c>
      <c r="S38" s="11" t="str">
        <f>"002361"</f>
        <v>002361</v>
      </c>
      <c r="T38" s="10">
        <v>43262</v>
      </c>
      <c r="U38" s="14">
        <v>19.790389999999999</v>
      </c>
      <c r="V38" s="14">
        <v>2.7558199999999999</v>
      </c>
      <c r="W38" s="14">
        <v>17.034569999999999</v>
      </c>
      <c r="X38" s="11">
        <v>90</v>
      </c>
      <c r="Y38" s="10">
        <v>43269</v>
      </c>
      <c r="Z38" s="11">
        <v>9900333496</v>
      </c>
      <c r="AA38" s="12" t="s">
        <v>112</v>
      </c>
      <c r="AB38" s="11" t="s">
        <v>134</v>
      </c>
      <c r="AC38" s="12" t="s">
        <v>135</v>
      </c>
      <c r="AD38" s="11" t="s">
        <v>43</v>
      </c>
      <c r="AE38" s="12" t="s">
        <v>44</v>
      </c>
      <c r="AF38" s="14">
        <v>0.19790389999999999</v>
      </c>
      <c r="AG38" s="11" t="s">
        <v>45</v>
      </c>
    </row>
    <row r="39" spans="1:33" x14ac:dyDescent="0.2">
      <c r="A39" s="8">
        <v>2249</v>
      </c>
      <c r="B39" s="9" t="s">
        <v>129</v>
      </c>
      <c r="C39" s="10">
        <v>43269</v>
      </c>
      <c r="D39" s="11">
        <v>43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148</v>
      </c>
      <c r="J39" s="12" t="s">
        <v>149</v>
      </c>
      <c r="K39" s="13" t="s">
        <v>59</v>
      </c>
      <c r="L39" s="11" t="str">
        <f>"000212"</f>
        <v>000212</v>
      </c>
      <c r="M39" s="10">
        <v>42601</v>
      </c>
      <c r="N39" s="11" t="str">
        <f>"000299"</f>
        <v>000299</v>
      </c>
      <c r="O39" s="10">
        <v>42632</v>
      </c>
      <c r="P39" s="11" t="str">
        <f>"000663"</f>
        <v>000663</v>
      </c>
      <c r="Q39" s="10">
        <v>42633</v>
      </c>
      <c r="R39" s="11">
        <v>17</v>
      </c>
      <c r="S39" s="11" t="str">
        <f>"002362"</f>
        <v>002362</v>
      </c>
      <c r="T39" s="10">
        <v>43262</v>
      </c>
      <c r="U39" s="14">
        <v>19.871949999999998</v>
      </c>
      <c r="V39" s="14">
        <v>2.73773</v>
      </c>
      <c r="W39" s="14">
        <v>17.134219999999999</v>
      </c>
      <c r="X39" s="11">
        <v>90</v>
      </c>
      <c r="Y39" s="10">
        <v>43269</v>
      </c>
      <c r="Z39" s="11">
        <v>9900333496</v>
      </c>
      <c r="AA39" s="12" t="s">
        <v>107</v>
      </c>
      <c r="AB39" s="11" t="s">
        <v>134</v>
      </c>
      <c r="AC39" s="12" t="s">
        <v>135</v>
      </c>
      <c r="AD39" s="11" t="s">
        <v>43</v>
      </c>
      <c r="AE39" s="12" t="s">
        <v>44</v>
      </c>
      <c r="AF39" s="14">
        <v>0.19871949999999999</v>
      </c>
      <c r="AG39" s="11" t="s">
        <v>45</v>
      </c>
    </row>
    <row r="40" spans="1:33" x14ac:dyDescent="0.2">
      <c r="A40" s="8">
        <v>2250</v>
      </c>
      <c r="B40" s="9" t="s">
        <v>129</v>
      </c>
      <c r="C40" s="10">
        <v>43269</v>
      </c>
      <c r="D40" s="11">
        <v>43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150</v>
      </c>
      <c r="J40" s="12" t="s">
        <v>151</v>
      </c>
      <c r="K40" s="13" t="s">
        <v>39</v>
      </c>
      <c r="L40" s="11" t="str">
        <f>"000211"</f>
        <v>000211</v>
      </c>
      <c r="M40" s="10">
        <v>42601</v>
      </c>
      <c r="N40" s="11" t="str">
        <f>"000298"</f>
        <v>000298</v>
      </c>
      <c r="O40" s="10">
        <v>42632</v>
      </c>
      <c r="P40" s="11" t="str">
        <f>"000664"</f>
        <v>000664</v>
      </c>
      <c r="Q40" s="10">
        <v>42633</v>
      </c>
      <c r="R40" s="11">
        <v>17</v>
      </c>
      <c r="S40" s="11" t="str">
        <f>"002363"</f>
        <v>002363</v>
      </c>
      <c r="T40" s="10">
        <v>43262</v>
      </c>
      <c r="U40" s="14">
        <v>19.809650000000001</v>
      </c>
      <c r="V40" s="14">
        <v>2.7567699999999999</v>
      </c>
      <c r="W40" s="14">
        <v>17.052879999999998</v>
      </c>
      <c r="X40" s="11">
        <v>90</v>
      </c>
      <c r="Y40" s="10">
        <v>43269</v>
      </c>
      <c r="Z40" s="11">
        <v>9900333496</v>
      </c>
      <c r="AA40" s="12" t="s">
        <v>112</v>
      </c>
      <c r="AB40" s="11" t="s">
        <v>134</v>
      </c>
      <c r="AC40" s="12" t="s">
        <v>135</v>
      </c>
      <c r="AD40" s="11" t="s">
        <v>43</v>
      </c>
      <c r="AE40" s="12" t="s">
        <v>44</v>
      </c>
      <c r="AF40" s="14">
        <v>0.19809650000000001</v>
      </c>
      <c r="AG40" s="11" t="s">
        <v>45</v>
      </c>
    </row>
    <row r="41" spans="1:33" x14ac:dyDescent="0.2">
      <c r="A41" s="8">
        <v>2251</v>
      </c>
      <c r="B41" s="9" t="s">
        <v>129</v>
      </c>
      <c r="C41" s="10">
        <v>43269</v>
      </c>
      <c r="D41" s="11">
        <v>43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152</v>
      </c>
      <c r="J41" s="12" t="s">
        <v>153</v>
      </c>
      <c r="K41" s="13" t="s">
        <v>78</v>
      </c>
      <c r="L41" s="11" t="str">
        <f>"000217"</f>
        <v>000217</v>
      </c>
      <c r="M41" s="10">
        <v>42678</v>
      </c>
      <c r="N41" s="11" t="str">
        <f>"000304"</f>
        <v>000304</v>
      </c>
      <c r="O41" s="10">
        <v>42632</v>
      </c>
      <c r="P41" s="11" t="str">
        <f>"000666"</f>
        <v>000666</v>
      </c>
      <c r="Q41" s="10">
        <v>42633</v>
      </c>
      <c r="R41" s="11">
        <v>17</v>
      </c>
      <c r="S41" s="11" t="str">
        <f>"002364"</f>
        <v>002364</v>
      </c>
      <c r="T41" s="10">
        <v>43262</v>
      </c>
      <c r="U41" s="14">
        <v>19.788979999999999</v>
      </c>
      <c r="V41" s="14">
        <v>2.6908599999999998</v>
      </c>
      <c r="W41" s="14">
        <v>17.098120000000002</v>
      </c>
      <c r="X41" s="11">
        <v>90</v>
      </c>
      <c r="Y41" s="10">
        <v>43269</v>
      </c>
      <c r="Z41" s="11">
        <v>9900333496</v>
      </c>
      <c r="AA41" s="12" t="s">
        <v>40</v>
      </c>
      <c r="AB41" s="11" t="s">
        <v>134</v>
      </c>
      <c r="AC41" s="12" t="s">
        <v>135</v>
      </c>
      <c r="AD41" s="11" t="s">
        <v>43</v>
      </c>
      <c r="AE41" s="12" t="s">
        <v>44</v>
      </c>
      <c r="AF41" s="14">
        <v>0.19788979999999998</v>
      </c>
      <c r="AG41" s="11" t="s">
        <v>45</v>
      </c>
    </row>
    <row r="42" spans="1:33" x14ac:dyDescent="0.2">
      <c r="A42" s="8">
        <v>2252</v>
      </c>
      <c r="B42" s="9" t="s">
        <v>129</v>
      </c>
      <c r="C42" s="10">
        <v>43269</v>
      </c>
      <c r="D42" s="11">
        <v>43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154</v>
      </c>
      <c r="J42" s="12" t="s">
        <v>155</v>
      </c>
      <c r="K42" s="13" t="s">
        <v>59</v>
      </c>
      <c r="L42" s="11" t="str">
        <f>"000218"</f>
        <v>000218</v>
      </c>
      <c r="M42" s="10">
        <v>42601</v>
      </c>
      <c r="N42" s="11" t="str">
        <f>"000305"</f>
        <v>000305</v>
      </c>
      <c r="O42" s="10">
        <v>42629</v>
      </c>
      <c r="P42" s="11" t="str">
        <f>"000667"</f>
        <v>000667</v>
      </c>
      <c r="Q42" s="10">
        <v>42633</v>
      </c>
      <c r="R42" s="11">
        <v>17</v>
      </c>
      <c r="S42" s="11" t="str">
        <f>"002365"</f>
        <v>002365</v>
      </c>
      <c r="T42" s="10">
        <v>43262</v>
      </c>
      <c r="U42" s="14">
        <v>14.8635</v>
      </c>
      <c r="V42" s="14">
        <v>1.9721299999999999</v>
      </c>
      <c r="W42" s="14">
        <v>12.89137</v>
      </c>
      <c r="X42" s="11">
        <v>90</v>
      </c>
      <c r="Y42" s="10">
        <v>43269</v>
      </c>
      <c r="Z42" s="11">
        <v>9900333496</v>
      </c>
      <c r="AA42" s="12" t="s">
        <v>48</v>
      </c>
      <c r="AB42" s="11" t="s">
        <v>134</v>
      </c>
      <c r="AC42" s="12" t="s">
        <v>135</v>
      </c>
      <c r="AD42" s="11" t="s">
        <v>43</v>
      </c>
      <c r="AE42" s="12" t="s">
        <v>44</v>
      </c>
      <c r="AF42" s="14">
        <v>0.14863499999999999</v>
      </c>
      <c r="AG42" s="11" t="s">
        <v>45</v>
      </c>
    </row>
    <row r="43" spans="1:33" x14ac:dyDescent="0.2">
      <c r="A43" s="8">
        <v>2253</v>
      </c>
      <c r="B43" s="9" t="s">
        <v>129</v>
      </c>
      <c r="C43" s="10">
        <v>43269</v>
      </c>
      <c r="D43" s="11">
        <v>43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156</v>
      </c>
      <c r="J43" s="12" t="s">
        <v>157</v>
      </c>
      <c r="K43" s="13" t="s">
        <v>59</v>
      </c>
      <c r="L43" s="11" t="str">
        <f>"000216"</f>
        <v>000216</v>
      </c>
      <c r="M43" s="10">
        <v>42601</v>
      </c>
      <c r="N43" s="11" t="str">
        <f>"000307"</f>
        <v>000307</v>
      </c>
      <c r="O43" s="10">
        <v>42632</v>
      </c>
      <c r="P43" s="11" t="str">
        <f>"000668"</f>
        <v>000668</v>
      </c>
      <c r="Q43" s="10">
        <v>42633</v>
      </c>
      <c r="R43" s="11">
        <v>17</v>
      </c>
      <c r="S43" s="11" t="str">
        <f>"002366"</f>
        <v>002366</v>
      </c>
      <c r="T43" s="10">
        <v>43262</v>
      </c>
      <c r="U43" s="14">
        <v>9.9087999999999994</v>
      </c>
      <c r="V43" s="14">
        <v>1.3122100000000001</v>
      </c>
      <c r="W43" s="14">
        <v>8.5965900000000008</v>
      </c>
      <c r="X43" s="11">
        <v>90</v>
      </c>
      <c r="Y43" s="10">
        <v>43269</v>
      </c>
      <c r="Z43" s="11">
        <v>9900333496</v>
      </c>
      <c r="AA43" s="12" t="s">
        <v>40</v>
      </c>
      <c r="AB43" s="11" t="s">
        <v>134</v>
      </c>
      <c r="AC43" s="12" t="s">
        <v>135</v>
      </c>
      <c r="AD43" s="11" t="s">
        <v>43</v>
      </c>
      <c r="AE43" s="12" t="s">
        <v>44</v>
      </c>
      <c r="AF43" s="14">
        <v>9.9087999999999996E-2</v>
      </c>
      <c r="AG43" s="11" t="s">
        <v>45</v>
      </c>
    </row>
    <row r="44" spans="1:33" x14ac:dyDescent="0.2">
      <c r="A44" s="8">
        <v>2254</v>
      </c>
      <c r="B44" s="9" t="s">
        <v>129</v>
      </c>
      <c r="C44" s="10">
        <v>43269</v>
      </c>
      <c r="D44" s="11">
        <v>43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158</v>
      </c>
      <c r="J44" s="12" t="s">
        <v>159</v>
      </c>
      <c r="K44" s="13" t="s">
        <v>78</v>
      </c>
      <c r="L44" s="11" t="str">
        <f>"000213"</f>
        <v>000213</v>
      </c>
      <c r="M44" s="10">
        <v>42601</v>
      </c>
      <c r="N44" s="11" t="str">
        <f>"000306"</f>
        <v>000306</v>
      </c>
      <c r="O44" s="10">
        <v>42629</v>
      </c>
      <c r="P44" s="11" t="str">
        <f>"000669"</f>
        <v>000669</v>
      </c>
      <c r="Q44" s="10">
        <v>42633</v>
      </c>
      <c r="R44" s="11">
        <v>17</v>
      </c>
      <c r="S44" s="11" t="str">
        <f>"002367"</f>
        <v>002367</v>
      </c>
      <c r="T44" s="10">
        <v>43262</v>
      </c>
      <c r="U44" s="14">
        <v>9.8228799999999996</v>
      </c>
      <c r="V44" s="14">
        <v>1.2858400000000001</v>
      </c>
      <c r="W44" s="14">
        <v>8.5370399999999993</v>
      </c>
      <c r="X44" s="11">
        <v>90</v>
      </c>
      <c r="Y44" s="10">
        <v>43269</v>
      </c>
      <c r="Z44" s="11">
        <v>9900333496</v>
      </c>
      <c r="AA44" s="12" t="s">
        <v>40</v>
      </c>
      <c r="AB44" s="11" t="s">
        <v>134</v>
      </c>
      <c r="AC44" s="12" t="s">
        <v>135</v>
      </c>
      <c r="AD44" s="11" t="s">
        <v>43</v>
      </c>
      <c r="AE44" s="12" t="s">
        <v>44</v>
      </c>
      <c r="AF44" s="14">
        <v>9.8228799999999991E-2</v>
      </c>
      <c r="AG44" s="11" t="s">
        <v>45</v>
      </c>
    </row>
    <row r="45" spans="1:33" x14ac:dyDescent="0.2">
      <c r="A45" s="8">
        <v>2255</v>
      </c>
      <c r="B45" s="9" t="s">
        <v>129</v>
      </c>
      <c r="C45" s="10">
        <v>43269</v>
      </c>
      <c r="D45" s="11">
        <v>43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160</v>
      </c>
      <c r="J45" s="12" t="s">
        <v>161</v>
      </c>
      <c r="K45" s="13" t="s">
        <v>39</v>
      </c>
      <c r="L45" s="11" t="str">
        <f>"000219"</f>
        <v>000219</v>
      </c>
      <c r="M45" s="10">
        <v>42601</v>
      </c>
      <c r="N45" s="11" t="str">
        <f>"000325"</f>
        <v>000325</v>
      </c>
      <c r="O45" s="10">
        <v>42632</v>
      </c>
      <c r="P45" s="11" t="str">
        <f>"000693"</f>
        <v>000693</v>
      </c>
      <c r="Q45" s="10">
        <v>42633</v>
      </c>
      <c r="R45" s="11">
        <v>17</v>
      </c>
      <c r="S45" s="11" t="str">
        <f>"002388"</f>
        <v>002388</v>
      </c>
      <c r="T45" s="10">
        <v>43262</v>
      </c>
      <c r="U45" s="14">
        <v>19.805959999999999</v>
      </c>
      <c r="V45" s="14">
        <v>2.6705299999999998</v>
      </c>
      <c r="W45" s="14">
        <v>17.135429999999999</v>
      </c>
      <c r="X45" s="11">
        <v>90</v>
      </c>
      <c r="Y45" s="10">
        <v>43269</v>
      </c>
      <c r="Z45" s="11">
        <v>9900333496</v>
      </c>
      <c r="AA45" s="12" t="s">
        <v>48</v>
      </c>
      <c r="AB45" s="11" t="s">
        <v>134</v>
      </c>
      <c r="AC45" s="12" t="s">
        <v>135</v>
      </c>
      <c r="AD45" s="11" t="s">
        <v>43</v>
      </c>
      <c r="AE45" s="12" t="s">
        <v>44</v>
      </c>
      <c r="AF45" s="14">
        <v>0.1980596</v>
      </c>
      <c r="AG45" s="11" t="s">
        <v>45</v>
      </c>
    </row>
    <row r="46" spans="1:33" x14ac:dyDescent="0.2">
      <c r="A46" s="8">
        <v>2694</v>
      </c>
      <c r="B46" s="9" t="s">
        <v>129</v>
      </c>
      <c r="C46" s="10">
        <v>43278</v>
      </c>
      <c r="D46" s="11">
        <v>43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162</v>
      </c>
      <c r="J46" s="12" t="s">
        <v>163</v>
      </c>
      <c r="K46" s="13" t="s">
        <v>78</v>
      </c>
      <c r="L46" s="11" t="str">
        <f>"000077"</f>
        <v>000077</v>
      </c>
      <c r="M46" s="10">
        <v>42541</v>
      </c>
      <c r="N46" s="11" t="str">
        <f>"000275"</f>
        <v>000275</v>
      </c>
      <c r="O46" s="10">
        <v>42608</v>
      </c>
      <c r="P46" s="11" t="str">
        <f>"000649"</f>
        <v>000649</v>
      </c>
      <c r="Q46" s="10">
        <v>42633</v>
      </c>
      <c r="R46" s="11">
        <v>16</v>
      </c>
      <c r="S46" s="11" t="str">
        <f>"003034"</f>
        <v>003034</v>
      </c>
      <c r="T46" s="10">
        <v>43277</v>
      </c>
      <c r="U46" s="14">
        <v>19.8034</v>
      </c>
      <c r="V46" s="14">
        <v>2.7481300000000002</v>
      </c>
      <c r="W46" s="14">
        <v>17.05527</v>
      </c>
      <c r="X46" s="11">
        <v>103</v>
      </c>
      <c r="Y46" s="10">
        <v>43278</v>
      </c>
      <c r="Z46" s="11">
        <v>9900333496</v>
      </c>
      <c r="AA46" s="12" t="s">
        <v>107</v>
      </c>
      <c r="AB46" s="11" t="s">
        <v>134</v>
      </c>
      <c r="AC46" s="12" t="s">
        <v>135</v>
      </c>
      <c r="AD46" s="11" t="s">
        <v>43</v>
      </c>
      <c r="AE46" s="12" t="s">
        <v>44</v>
      </c>
      <c r="AF46" s="14">
        <v>0.19803399999999999</v>
      </c>
      <c r="AG46" s="11" t="s">
        <v>45</v>
      </c>
    </row>
    <row r="47" spans="1:33" x14ac:dyDescent="0.2">
      <c r="A47" s="8">
        <v>2695</v>
      </c>
      <c r="B47" s="9" t="s">
        <v>129</v>
      </c>
      <c r="C47" s="10">
        <v>43278</v>
      </c>
      <c r="D47" s="11">
        <v>43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164</v>
      </c>
      <c r="J47" s="12" t="s">
        <v>165</v>
      </c>
      <c r="K47" s="13" t="s">
        <v>78</v>
      </c>
      <c r="L47" s="11" t="str">
        <f>"000079"</f>
        <v>000079</v>
      </c>
      <c r="M47" s="10">
        <v>42541</v>
      </c>
      <c r="N47" s="11" t="str">
        <f>"000214"</f>
        <v>000214</v>
      </c>
      <c r="O47" s="10">
        <v>42619</v>
      </c>
      <c r="P47" s="11" t="str">
        <f>"000650"</f>
        <v>000650</v>
      </c>
      <c r="Q47" s="10">
        <v>42633</v>
      </c>
      <c r="R47" s="11">
        <v>16</v>
      </c>
      <c r="S47" s="11" t="str">
        <f>"003035"</f>
        <v>003035</v>
      </c>
      <c r="T47" s="10">
        <v>43277</v>
      </c>
      <c r="U47" s="14">
        <v>19.81719</v>
      </c>
      <c r="V47" s="14">
        <v>2.7299799999999999</v>
      </c>
      <c r="W47" s="14">
        <v>17.087209999999999</v>
      </c>
      <c r="X47" s="11">
        <v>103</v>
      </c>
      <c r="Y47" s="10">
        <v>43278</v>
      </c>
      <c r="Z47" s="11">
        <v>9900333496</v>
      </c>
      <c r="AA47" s="12" t="s">
        <v>112</v>
      </c>
      <c r="AB47" s="11" t="s">
        <v>134</v>
      </c>
      <c r="AC47" s="12" t="s">
        <v>135</v>
      </c>
      <c r="AD47" s="11" t="s">
        <v>43</v>
      </c>
      <c r="AE47" s="12" t="s">
        <v>44</v>
      </c>
      <c r="AF47" s="14">
        <v>0.19817190000000001</v>
      </c>
      <c r="AG47" s="11" t="s">
        <v>45</v>
      </c>
    </row>
    <row r="48" spans="1:33" x14ac:dyDescent="0.2">
      <c r="A48" s="8">
        <v>2816</v>
      </c>
      <c r="B48" s="9" t="s">
        <v>166</v>
      </c>
      <c r="C48" s="10">
        <v>43283</v>
      </c>
      <c r="D48" s="11">
        <v>43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167</v>
      </c>
      <c r="J48" s="12" t="s">
        <v>168</v>
      </c>
      <c r="K48" s="13" t="s">
        <v>169</v>
      </c>
      <c r="L48" s="11" t="str">
        <f>"000020"</f>
        <v>000020</v>
      </c>
      <c r="M48" s="10">
        <v>42865</v>
      </c>
      <c r="N48" s="11" t="str">
        <f>"000190"</f>
        <v>000190</v>
      </c>
      <c r="O48" s="10">
        <v>42916</v>
      </c>
      <c r="P48" s="11" t="str">
        <f>"000383"</f>
        <v>000383</v>
      </c>
      <c r="Q48" s="10">
        <v>42916</v>
      </c>
      <c r="R48" s="11">
        <v>17</v>
      </c>
      <c r="S48" s="11" t="str">
        <f>"003169"</f>
        <v>003169</v>
      </c>
      <c r="T48" s="10">
        <v>43280</v>
      </c>
      <c r="U48" s="14">
        <v>19.626270000000002</v>
      </c>
      <c r="V48" s="14">
        <v>2.5963699999999998</v>
      </c>
      <c r="W48" s="14">
        <v>17.029900000000001</v>
      </c>
      <c r="X48" s="11">
        <v>107</v>
      </c>
      <c r="Y48" s="10">
        <v>43283</v>
      </c>
      <c r="Z48" s="11">
        <v>9900333496</v>
      </c>
      <c r="AA48" s="12" t="s">
        <v>48</v>
      </c>
      <c r="AB48" s="11" t="s">
        <v>170</v>
      </c>
      <c r="AC48" s="12" t="s">
        <v>171</v>
      </c>
      <c r="AD48" s="11" t="s">
        <v>43</v>
      </c>
      <c r="AE48" s="12" t="s">
        <v>44</v>
      </c>
      <c r="AF48" s="14">
        <v>0.19626270000000001</v>
      </c>
      <c r="AG48" s="11" t="s">
        <v>45</v>
      </c>
    </row>
    <row r="49" spans="1:33" x14ac:dyDescent="0.2">
      <c r="A49" s="8">
        <v>2817</v>
      </c>
      <c r="B49" s="9" t="s">
        <v>166</v>
      </c>
      <c r="C49" s="10">
        <v>43283</v>
      </c>
      <c r="D49" s="11">
        <v>43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172</v>
      </c>
      <c r="J49" s="12" t="s">
        <v>173</v>
      </c>
      <c r="K49" s="13" t="s">
        <v>169</v>
      </c>
      <c r="L49" s="11" t="str">
        <f>"000019"</f>
        <v>000019</v>
      </c>
      <c r="M49" s="10">
        <v>42865</v>
      </c>
      <c r="N49" s="11" t="str">
        <f>"000192"</f>
        <v>000192</v>
      </c>
      <c r="O49" s="10">
        <v>42916</v>
      </c>
      <c r="P49" s="11" t="str">
        <f>"000384"</f>
        <v>000384</v>
      </c>
      <c r="Q49" s="10">
        <v>42916</v>
      </c>
      <c r="R49" s="11">
        <v>17</v>
      </c>
      <c r="S49" s="11" t="str">
        <f>"003188"</f>
        <v>003188</v>
      </c>
      <c r="T49" s="10">
        <v>43280</v>
      </c>
      <c r="U49" s="14">
        <v>19.80688</v>
      </c>
      <c r="V49" s="14">
        <v>2.83589</v>
      </c>
      <c r="W49" s="14">
        <v>16.97099</v>
      </c>
      <c r="X49" s="11">
        <v>107</v>
      </c>
      <c r="Y49" s="10">
        <v>43283</v>
      </c>
      <c r="Z49" s="11">
        <v>9900333496</v>
      </c>
      <c r="AA49" s="12" t="s">
        <v>48</v>
      </c>
      <c r="AB49" s="11" t="s">
        <v>170</v>
      </c>
      <c r="AC49" s="12" t="s">
        <v>171</v>
      </c>
      <c r="AD49" s="11" t="s">
        <v>43</v>
      </c>
      <c r="AE49" s="12" t="s">
        <v>44</v>
      </c>
      <c r="AF49" s="14">
        <v>0.19806879999999999</v>
      </c>
      <c r="AG49" s="11" t="s">
        <v>45</v>
      </c>
    </row>
    <row r="50" spans="1:33" x14ac:dyDescent="0.2">
      <c r="A50" s="8">
        <v>2818</v>
      </c>
      <c r="B50" s="9" t="s">
        <v>166</v>
      </c>
      <c r="C50" s="10">
        <v>43283</v>
      </c>
      <c r="D50" s="11">
        <v>43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174</v>
      </c>
      <c r="J50" s="12" t="s">
        <v>175</v>
      </c>
      <c r="K50" s="13" t="s">
        <v>59</v>
      </c>
      <c r="L50" s="11" t="str">
        <f>"000040"</f>
        <v>000040</v>
      </c>
      <c r="M50" s="10">
        <v>42636</v>
      </c>
      <c r="N50" s="11" t="str">
        <f>"000294"</f>
        <v>000294</v>
      </c>
      <c r="O50" s="10">
        <v>42614</v>
      </c>
      <c r="P50" s="11" t="str">
        <f>"000638"</f>
        <v>000638</v>
      </c>
      <c r="Q50" s="10">
        <v>42633</v>
      </c>
      <c r="R50" s="11">
        <v>16</v>
      </c>
      <c r="S50" s="11" t="str">
        <f>"004657"</f>
        <v>004657</v>
      </c>
      <c r="T50" s="10">
        <v>42956</v>
      </c>
      <c r="U50" s="14">
        <v>4.9935600000000004</v>
      </c>
      <c r="V50" s="14">
        <v>0.55442000000000002</v>
      </c>
      <c r="W50" s="14">
        <v>4.4391400000000001</v>
      </c>
      <c r="X50" s="11">
        <v>108</v>
      </c>
      <c r="Y50" s="10">
        <v>43283</v>
      </c>
      <c r="Z50" s="11">
        <v>9945299158</v>
      </c>
      <c r="AA50" s="12" t="s">
        <v>176</v>
      </c>
      <c r="AB50" s="11" t="s">
        <v>177</v>
      </c>
      <c r="AC50" s="12" t="s">
        <v>178</v>
      </c>
      <c r="AD50" s="11" t="s">
        <v>43</v>
      </c>
      <c r="AE50" s="12" t="s">
        <v>44</v>
      </c>
      <c r="AF50" s="14">
        <v>4.9935600000000004E-2</v>
      </c>
      <c r="AG50" s="11" t="s">
        <v>45</v>
      </c>
    </row>
    <row r="51" spans="1:33" x14ac:dyDescent="0.2">
      <c r="A51" s="8">
        <v>2819</v>
      </c>
      <c r="B51" s="9" t="s">
        <v>166</v>
      </c>
      <c r="C51" s="10">
        <v>43283</v>
      </c>
      <c r="D51" s="11">
        <v>43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179</v>
      </c>
      <c r="J51" s="12" t="s">
        <v>180</v>
      </c>
      <c r="K51" s="13" t="s">
        <v>39</v>
      </c>
      <c r="L51" s="11" t="str">
        <f>"000455"</f>
        <v>000455</v>
      </c>
      <c r="M51" s="10">
        <v>42801</v>
      </c>
      <c r="N51" s="11" t="str">
        <f>"000516"</f>
        <v>000516</v>
      </c>
      <c r="O51" s="10">
        <v>42916</v>
      </c>
      <c r="P51" s="11" t="str">
        <f>"000017"</f>
        <v>000017</v>
      </c>
      <c r="Q51" s="10">
        <v>42850</v>
      </c>
      <c r="R51" s="11">
        <v>17</v>
      </c>
      <c r="S51" s="11" t="str">
        <f>"002955"</f>
        <v>002955</v>
      </c>
      <c r="T51" s="10">
        <v>43276</v>
      </c>
      <c r="U51" s="14">
        <v>20.792200000000001</v>
      </c>
      <c r="V51" s="14">
        <v>1.08527</v>
      </c>
      <c r="W51" s="14">
        <v>19.70693</v>
      </c>
      <c r="X51" s="11">
        <v>108</v>
      </c>
      <c r="Y51" s="10">
        <v>43283</v>
      </c>
      <c r="Z51" s="11">
        <v>0</v>
      </c>
      <c r="AA51" s="12" t="s">
        <v>181</v>
      </c>
      <c r="AB51" s="11" t="s">
        <v>182</v>
      </c>
      <c r="AC51" s="12" t="s">
        <v>183</v>
      </c>
      <c r="AD51" s="11" t="s">
        <v>43</v>
      </c>
      <c r="AE51" s="12" t="s">
        <v>44</v>
      </c>
      <c r="AF51" s="14">
        <v>0.20792200000000002</v>
      </c>
      <c r="AG51" s="11" t="s">
        <v>45</v>
      </c>
    </row>
    <row r="52" spans="1:33" x14ac:dyDescent="0.2">
      <c r="A52" s="8">
        <v>3241</v>
      </c>
      <c r="B52" s="9" t="s">
        <v>166</v>
      </c>
      <c r="C52" s="10">
        <v>43293</v>
      </c>
      <c r="D52" s="11">
        <v>43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184</v>
      </c>
      <c r="J52" s="12" t="s">
        <v>185</v>
      </c>
      <c r="K52" s="13" t="s">
        <v>39</v>
      </c>
      <c r="L52" s="11" t="str">
        <f>"000117"</f>
        <v>000117</v>
      </c>
      <c r="M52" s="10">
        <v>43096</v>
      </c>
      <c r="N52" s="11" t="str">
        <f>"000057"</f>
        <v>000057</v>
      </c>
      <c r="O52" s="10">
        <v>43273</v>
      </c>
      <c r="P52" s="11" t="str">
        <f>"000116"</f>
        <v>000116</v>
      </c>
      <c r="Q52" s="10">
        <v>43274</v>
      </c>
      <c r="R52" s="11">
        <v>17</v>
      </c>
      <c r="S52" s="11" t="str">
        <f>"003592"</f>
        <v>003592</v>
      </c>
      <c r="T52" s="10">
        <v>43292</v>
      </c>
      <c r="U52" s="14">
        <v>11.99386</v>
      </c>
      <c r="V52" s="14">
        <v>1.03148</v>
      </c>
      <c r="W52" s="14">
        <v>10.96238</v>
      </c>
      <c r="X52" s="11">
        <v>123</v>
      </c>
      <c r="Y52" s="10">
        <v>43293</v>
      </c>
      <c r="Z52" s="11">
        <v>9900333496</v>
      </c>
      <c r="AA52" s="12" t="s">
        <v>48</v>
      </c>
      <c r="AB52" s="11" t="s">
        <v>82</v>
      </c>
      <c r="AC52" s="12" t="s">
        <v>83</v>
      </c>
      <c r="AD52" s="11" t="s">
        <v>43</v>
      </c>
      <c r="AE52" s="12" t="s">
        <v>44</v>
      </c>
      <c r="AF52" s="14">
        <v>0.11993859999999999</v>
      </c>
      <c r="AG52" s="11" t="s">
        <v>90</v>
      </c>
    </row>
    <row r="53" spans="1:33" x14ac:dyDescent="0.2">
      <c r="A53" s="8">
        <v>3373</v>
      </c>
      <c r="B53" s="9" t="s">
        <v>166</v>
      </c>
      <c r="C53" s="10">
        <v>43298</v>
      </c>
      <c r="D53" s="11">
        <v>43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186</v>
      </c>
      <c r="J53" s="12" t="s">
        <v>187</v>
      </c>
      <c r="K53" s="13" t="s">
        <v>39</v>
      </c>
      <c r="L53" s="11" t="str">
        <f>"000122"</f>
        <v>000122</v>
      </c>
      <c r="M53" s="10">
        <v>43124</v>
      </c>
      <c r="N53" s="11" t="str">
        <f>"000016"</f>
        <v>000016</v>
      </c>
      <c r="O53" s="10">
        <v>43215</v>
      </c>
      <c r="P53" s="11" t="str">
        <f>"000036"</f>
        <v>000036</v>
      </c>
      <c r="Q53" s="10">
        <v>43215</v>
      </c>
      <c r="R53" s="11">
        <v>18</v>
      </c>
      <c r="S53" s="11" t="str">
        <f>"003338"</f>
        <v>003338</v>
      </c>
      <c r="T53" s="10">
        <v>43286</v>
      </c>
      <c r="U53" s="14">
        <v>19.98856</v>
      </c>
      <c r="V53" s="14">
        <v>2.3088299999999999</v>
      </c>
      <c r="W53" s="14">
        <v>17.679729999999999</v>
      </c>
      <c r="X53" s="11">
        <v>126</v>
      </c>
      <c r="Y53" s="10">
        <v>43298</v>
      </c>
      <c r="Z53" s="11">
        <v>9900333496</v>
      </c>
      <c r="AA53" s="12" t="s">
        <v>40</v>
      </c>
      <c r="AB53" s="11" t="s">
        <v>60</v>
      </c>
      <c r="AC53" s="12" t="s">
        <v>61</v>
      </c>
      <c r="AD53" s="11" t="s">
        <v>43</v>
      </c>
      <c r="AE53" s="12" t="s">
        <v>44</v>
      </c>
      <c r="AF53" s="14">
        <v>0.1998856</v>
      </c>
      <c r="AG53" s="11" t="s">
        <v>90</v>
      </c>
    </row>
    <row r="54" spans="1:33" x14ac:dyDescent="0.2">
      <c r="A54" s="8">
        <v>3716</v>
      </c>
      <c r="B54" s="9" t="s">
        <v>166</v>
      </c>
      <c r="C54" s="10">
        <v>43301</v>
      </c>
      <c r="D54" s="11">
        <v>43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188</v>
      </c>
      <c r="J54" s="12" t="s">
        <v>189</v>
      </c>
      <c r="K54" s="13" t="s">
        <v>39</v>
      </c>
      <c r="L54" s="11" t="str">
        <f>"000023"</f>
        <v>000023</v>
      </c>
      <c r="M54" s="10">
        <v>42940</v>
      </c>
      <c r="N54" s="11" t="str">
        <f>"000098"</f>
        <v>000098</v>
      </c>
      <c r="O54" s="10">
        <v>43153</v>
      </c>
      <c r="P54" s="11" t="str">
        <f>"000125"</f>
        <v>000125</v>
      </c>
      <c r="Q54" s="10">
        <v>43153</v>
      </c>
      <c r="R54" s="11">
        <v>16</v>
      </c>
      <c r="S54" s="11" t="str">
        <f>"003952"</f>
        <v>003952</v>
      </c>
      <c r="T54" s="10">
        <v>43299</v>
      </c>
      <c r="U54" s="14">
        <v>11.10289</v>
      </c>
      <c r="V54" s="14">
        <v>1.1213900000000001</v>
      </c>
      <c r="W54" s="14">
        <v>9.9815000000000005</v>
      </c>
      <c r="X54" s="11">
        <v>134</v>
      </c>
      <c r="Y54" s="10">
        <v>43301</v>
      </c>
      <c r="Z54" s="11">
        <v>9448281394</v>
      </c>
      <c r="AA54" s="12" t="s">
        <v>190</v>
      </c>
      <c r="AB54" s="11" t="s">
        <v>191</v>
      </c>
      <c r="AC54" s="12" t="s">
        <v>192</v>
      </c>
      <c r="AD54" s="11" t="s">
        <v>84</v>
      </c>
      <c r="AE54" s="12" t="s">
        <v>85</v>
      </c>
      <c r="AF54" s="14">
        <v>0.1110289</v>
      </c>
      <c r="AG54" s="11" t="s">
        <v>45</v>
      </c>
    </row>
    <row r="55" spans="1:33" x14ac:dyDescent="0.2">
      <c r="A55" s="8">
        <v>3904</v>
      </c>
      <c r="B55" s="9" t="s">
        <v>166</v>
      </c>
      <c r="C55" s="10">
        <v>43305</v>
      </c>
      <c r="D55" s="11">
        <v>43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193</v>
      </c>
      <c r="J55" s="12" t="s">
        <v>194</v>
      </c>
      <c r="K55" s="13" t="s">
        <v>51</v>
      </c>
      <c r="L55" s="11" t="str">
        <f>"000076"</f>
        <v>000076</v>
      </c>
      <c r="M55" s="10">
        <v>42770</v>
      </c>
      <c r="N55" s="11" t="str">
        <f>"000391"</f>
        <v>000391</v>
      </c>
      <c r="O55" s="10">
        <v>42747</v>
      </c>
      <c r="P55" s="11" t="str">
        <f>"000865"</f>
        <v>000865</v>
      </c>
      <c r="Q55" s="10">
        <v>42758</v>
      </c>
      <c r="R55" s="11">
        <v>16</v>
      </c>
      <c r="S55" s="11" t="str">
        <f>"004107"</f>
        <v>004107</v>
      </c>
      <c r="T55" s="10">
        <v>43301</v>
      </c>
      <c r="U55" s="14">
        <v>3.1504400000000001</v>
      </c>
      <c r="V55" s="14">
        <v>0.38169999999999998</v>
      </c>
      <c r="W55" s="14">
        <v>2.7687400000000002</v>
      </c>
      <c r="X55" s="11">
        <v>139</v>
      </c>
      <c r="Y55" s="10">
        <v>43305</v>
      </c>
      <c r="Z55" s="11">
        <v>9900333496</v>
      </c>
      <c r="AA55" s="12" t="s">
        <v>89</v>
      </c>
      <c r="AB55" s="11" t="s">
        <v>134</v>
      </c>
      <c r="AC55" s="12" t="s">
        <v>135</v>
      </c>
      <c r="AD55" s="11" t="s">
        <v>43</v>
      </c>
      <c r="AE55" s="12" t="s">
        <v>44</v>
      </c>
      <c r="AF55" s="14">
        <v>3.1504400000000002E-2</v>
      </c>
      <c r="AG55" s="11" t="s">
        <v>45</v>
      </c>
    </row>
    <row r="56" spans="1:33" x14ac:dyDescent="0.2">
      <c r="A56" s="8">
        <v>3980</v>
      </c>
      <c r="B56" s="9" t="s">
        <v>166</v>
      </c>
      <c r="C56" s="10">
        <v>43307</v>
      </c>
      <c r="D56" s="11">
        <v>43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195</v>
      </c>
      <c r="J56" s="12" t="s">
        <v>196</v>
      </c>
      <c r="K56" s="13" t="s">
        <v>51</v>
      </c>
      <c r="L56" s="11" t="str">
        <f>"000020"</f>
        <v>000020</v>
      </c>
      <c r="M56" s="10">
        <v>42705</v>
      </c>
      <c r="N56" s="11" t="str">
        <f>"000020"</f>
        <v>000020</v>
      </c>
      <c r="O56" s="10">
        <v>42791</v>
      </c>
      <c r="P56" s="11" t="str">
        <f>"000017"</f>
        <v>000017</v>
      </c>
      <c r="Q56" s="10">
        <v>42853</v>
      </c>
      <c r="R56" s="11">
        <v>17</v>
      </c>
      <c r="S56" s="11" t="str">
        <f>"004240"</f>
        <v>004240</v>
      </c>
      <c r="T56" s="10">
        <v>43305</v>
      </c>
      <c r="U56" s="14">
        <v>11.997159999999999</v>
      </c>
      <c r="V56" s="14">
        <v>1.4618500000000001</v>
      </c>
      <c r="W56" s="14">
        <v>10.535310000000001</v>
      </c>
      <c r="X56" s="11">
        <v>142</v>
      </c>
      <c r="Y56" s="10">
        <v>43307</v>
      </c>
      <c r="Z56" s="11">
        <v>9886985562</v>
      </c>
      <c r="AA56" s="12" t="s">
        <v>197</v>
      </c>
      <c r="AB56" s="11" t="s">
        <v>198</v>
      </c>
      <c r="AC56" s="12" t="s">
        <v>199</v>
      </c>
      <c r="AD56" s="11" t="s">
        <v>55</v>
      </c>
      <c r="AE56" s="12" t="s">
        <v>56</v>
      </c>
      <c r="AF56" s="14">
        <v>0.1199716</v>
      </c>
      <c r="AG56" s="11" t="s">
        <v>45</v>
      </c>
    </row>
    <row r="57" spans="1:33" x14ac:dyDescent="0.2">
      <c r="A57" s="8">
        <v>3981</v>
      </c>
      <c r="B57" s="9" t="s">
        <v>166</v>
      </c>
      <c r="C57" s="10">
        <v>43307</v>
      </c>
      <c r="D57" s="11">
        <v>43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200</v>
      </c>
      <c r="J57" s="12" t="s">
        <v>201</v>
      </c>
      <c r="K57" s="13" t="s">
        <v>51</v>
      </c>
      <c r="L57" s="11" t="str">
        <f>"000023"</f>
        <v>000023</v>
      </c>
      <c r="M57" s="10">
        <v>42705</v>
      </c>
      <c r="N57" s="11" t="str">
        <f>"000019"</f>
        <v>000019</v>
      </c>
      <c r="O57" s="10">
        <v>42791</v>
      </c>
      <c r="P57" s="11" t="str">
        <f>"000019"</f>
        <v>000019</v>
      </c>
      <c r="Q57" s="10">
        <v>42853</v>
      </c>
      <c r="R57" s="11">
        <v>17</v>
      </c>
      <c r="S57" s="11" t="str">
        <f>"004241"</f>
        <v>004241</v>
      </c>
      <c r="T57" s="10">
        <v>43305</v>
      </c>
      <c r="U57" s="14">
        <v>14.97137</v>
      </c>
      <c r="V57" s="14">
        <v>1.90995</v>
      </c>
      <c r="W57" s="14">
        <v>13.06142</v>
      </c>
      <c r="X57" s="11">
        <v>142</v>
      </c>
      <c r="Y57" s="10">
        <v>43307</v>
      </c>
      <c r="Z57" s="11">
        <v>9886985562</v>
      </c>
      <c r="AA57" s="12" t="s">
        <v>197</v>
      </c>
      <c r="AB57" s="11" t="s">
        <v>198</v>
      </c>
      <c r="AC57" s="12" t="s">
        <v>199</v>
      </c>
      <c r="AD57" s="11" t="s">
        <v>55</v>
      </c>
      <c r="AE57" s="12" t="s">
        <v>56</v>
      </c>
      <c r="AF57" s="14">
        <v>0.14971370000000001</v>
      </c>
      <c r="AG57" s="11" t="s">
        <v>45</v>
      </c>
    </row>
    <row r="58" spans="1:33" x14ac:dyDescent="0.2">
      <c r="A58" s="8">
        <v>3982</v>
      </c>
      <c r="B58" s="9" t="s">
        <v>166</v>
      </c>
      <c r="C58" s="10">
        <v>43307</v>
      </c>
      <c r="D58" s="11">
        <v>43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202</v>
      </c>
      <c r="J58" s="12" t="s">
        <v>203</v>
      </c>
      <c r="K58" s="13" t="s">
        <v>51</v>
      </c>
      <c r="L58" s="11" t="str">
        <f>"000021"</f>
        <v>000021</v>
      </c>
      <c r="M58" s="10">
        <v>42705</v>
      </c>
      <c r="N58" s="11" t="str">
        <f>"000018"</f>
        <v>000018</v>
      </c>
      <c r="O58" s="10">
        <v>42791</v>
      </c>
      <c r="P58" s="11" t="str">
        <f>"000020"</f>
        <v>000020</v>
      </c>
      <c r="Q58" s="10">
        <v>42853</v>
      </c>
      <c r="R58" s="11">
        <v>17</v>
      </c>
      <c r="S58" s="11" t="str">
        <f>"004242"</f>
        <v>004242</v>
      </c>
      <c r="T58" s="10">
        <v>43305</v>
      </c>
      <c r="U58" s="14">
        <v>12.394629999999999</v>
      </c>
      <c r="V58" s="14">
        <v>1.51491</v>
      </c>
      <c r="W58" s="14">
        <v>10.879720000000001</v>
      </c>
      <c r="X58" s="11">
        <v>142</v>
      </c>
      <c r="Y58" s="10">
        <v>43307</v>
      </c>
      <c r="Z58" s="11">
        <v>9886985562</v>
      </c>
      <c r="AA58" s="12" t="s">
        <v>197</v>
      </c>
      <c r="AB58" s="11" t="s">
        <v>198</v>
      </c>
      <c r="AC58" s="12" t="s">
        <v>199</v>
      </c>
      <c r="AD58" s="11" t="s">
        <v>55</v>
      </c>
      <c r="AE58" s="12" t="s">
        <v>56</v>
      </c>
      <c r="AF58" s="14">
        <v>0.1239463</v>
      </c>
      <c r="AG58" s="11" t="s">
        <v>45</v>
      </c>
    </row>
    <row r="59" spans="1:33" x14ac:dyDescent="0.2">
      <c r="A59" s="8">
        <v>4421</v>
      </c>
      <c r="B59" s="9" t="s">
        <v>204</v>
      </c>
      <c r="C59" s="10">
        <v>43318</v>
      </c>
      <c r="D59" s="11">
        <v>43</v>
      </c>
      <c r="E59" s="12" t="s">
        <v>34</v>
      </c>
      <c r="F59" s="12" t="s">
        <v>35</v>
      </c>
      <c r="G59" s="12" t="s">
        <v>35</v>
      </c>
      <c r="H59" s="12" t="s">
        <v>36</v>
      </c>
      <c r="I59" s="11" t="s">
        <v>205</v>
      </c>
      <c r="J59" s="12" t="s">
        <v>206</v>
      </c>
      <c r="K59" s="13" t="s">
        <v>59</v>
      </c>
      <c r="L59" s="11" t="str">
        <f>"000014"</f>
        <v>000014</v>
      </c>
      <c r="M59" s="10">
        <v>42853</v>
      </c>
      <c r="N59" s="11" t="str">
        <f>"000171"</f>
        <v>000171</v>
      </c>
      <c r="O59" s="10">
        <v>42914</v>
      </c>
      <c r="P59" s="11" t="str">
        <f>"000366"</f>
        <v>000366</v>
      </c>
      <c r="Q59" s="10">
        <v>42916</v>
      </c>
      <c r="R59" s="11">
        <v>17</v>
      </c>
      <c r="S59" s="11" t="str">
        <f>"004754"</f>
        <v>004754</v>
      </c>
      <c r="T59" s="10">
        <v>43314</v>
      </c>
      <c r="U59" s="14">
        <v>14.862220000000001</v>
      </c>
      <c r="V59" s="14">
        <v>2.0634000000000001</v>
      </c>
      <c r="W59" s="14">
        <v>12.798819999999999</v>
      </c>
      <c r="X59" s="11">
        <v>160</v>
      </c>
      <c r="Y59" s="10">
        <v>43318</v>
      </c>
      <c r="Z59" s="11">
        <v>9900333496</v>
      </c>
      <c r="AA59" s="12" t="s">
        <v>48</v>
      </c>
      <c r="AB59" s="11" t="s">
        <v>207</v>
      </c>
      <c r="AC59" s="12" t="s">
        <v>208</v>
      </c>
      <c r="AD59" s="11" t="s">
        <v>43</v>
      </c>
      <c r="AE59" s="12" t="s">
        <v>44</v>
      </c>
      <c r="AF59" s="14">
        <v>0.14862220000000001</v>
      </c>
      <c r="AG59" s="11" t="s">
        <v>45</v>
      </c>
    </row>
    <row r="60" spans="1:33" x14ac:dyDescent="0.2">
      <c r="A60" s="8">
        <v>4422</v>
      </c>
      <c r="B60" s="9" t="s">
        <v>204</v>
      </c>
      <c r="C60" s="10">
        <v>43318</v>
      </c>
      <c r="D60" s="11">
        <v>43</v>
      </c>
      <c r="E60" s="12" t="s">
        <v>34</v>
      </c>
      <c r="F60" s="12" t="s">
        <v>35</v>
      </c>
      <c r="G60" s="12" t="s">
        <v>35</v>
      </c>
      <c r="H60" s="12" t="s">
        <v>36</v>
      </c>
      <c r="I60" s="11" t="s">
        <v>209</v>
      </c>
      <c r="J60" s="12" t="s">
        <v>210</v>
      </c>
      <c r="K60" s="13" t="s">
        <v>169</v>
      </c>
      <c r="L60" s="11" t="str">
        <f>"000075"</f>
        <v>000075</v>
      </c>
      <c r="M60" s="10">
        <v>42908</v>
      </c>
      <c r="N60" s="11" t="str">
        <f>"000024"</f>
        <v>000024</v>
      </c>
      <c r="O60" s="10">
        <v>42989</v>
      </c>
      <c r="P60" s="11" t="str">
        <f>"000043"</f>
        <v>000043</v>
      </c>
      <c r="Q60" s="10">
        <v>42989</v>
      </c>
      <c r="R60" s="11">
        <v>17</v>
      </c>
      <c r="S60" s="11" t="str">
        <f>"004757"</f>
        <v>004757</v>
      </c>
      <c r="T60" s="10">
        <v>43314</v>
      </c>
      <c r="U60" s="14">
        <v>19.420020000000001</v>
      </c>
      <c r="V60" s="14">
        <v>2.5909900000000001</v>
      </c>
      <c r="W60" s="14">
        <v>16.829029999999999</v>
      </c>
      <c r="X60" s="11">
        <v>160</v>
      </c>
      <c r="Y60" s="10">
        <v>43318</v>
      </c>
      <c r="Z60" s="11">
        <v>9900333496</v>
      </c>
      <c r="AA60" s="12" t="s">
        <v>48</v>
      </c>
      <c r="AB60" s="11" t="s">
        <v>211</v>
      </c>
      <c r="AC60" s="12" t="s">
        <v>212</v>
      </c>
      <c r="AD60" s="11" t="s">
        <v>43</v>
      </c>
      <c r="AE60" s="12" t="s">
        <v>44</v>
      </c>
      <c r="AF60" s="14">
        <v>0.19420020000000002</v>
      </c>
      <c r="AG60" s="11" t="s">
        <v>45</v>
      </c>
    </row>
    <row r="61" spans="1:33" x14ac:dyDescent="0.2">
      <c r="A61" s="8">
        <v>4423</v>
      </c>
      <c r="B61" s="9" t="s">
        <v>204</v>
      </c>
      <c r="C61" s="10">
        <v>43318</v>
      </c>
      <c r="D61" s="11">
        <v>43</v>
      </c>
      <c r="E61" s="12" t="s">
        <v>34</v>
      </c>
      <c r="F61" s="12" t="s">
        <v>35</v>
      </c>
      <c r="G61" s="12" t="s">
        <v>35</v>
      </c>
      <c r="H61" s="12" t="s">
        <v>36</v>
      </c>
      <c r="I61" s="11" t="s">
        <v>213</v>
      </c>
      <c r="J61" s="12" t="s">
        <v>214</v>
      </c>
      <c r="K61" s="13" t="s">
        <v>169</v>
      </c>
      <c r="L61" s="11" t="str">
        <f>"000074"</f>
        <v>000074</v>
      </c>
      <c r="M61" s="10">
        <v>42908</v>
      </c>
      <c r="N61" s="11" t="str">
        <f>"000025"</f>
        <v>000025</v>
      </c>
      <c r="O61" s="10">
        <v>42989</v>
      </c>
      <c r="P61" s="11" t="str">
        <f>"000044"</f>
        <v>000044</v>
      </c>
      <c r="Q61" s="10">
        <v>42989</v>
      </c>
      <c r="R61" s="11">
        <v>17</v>
      </c>
      <c r="S61" s="11" t="str">
        <f>"004758"</f>
        <v>004758</v>
      </c>
      <c r="T61" s="10">
        <v>43314</v>
      </c>
      <c r="U61" s="14">
        <v>19.74119</v>
      </c>
      <c r="V61" s="14">
        <v>2.694</v>
      </c>
      <c r="W61" s="14">
        <v>17.047190000000001</v>
      </c>
      <c r="X61" s="11">
        <v>160</v>
      </c>
      <c r="Y61" s="10">
        <v>43318</v>
      </c>
      <c r="Z61" s="11">
        <v>9900333496</v>
      </c>
      <c r="AA61" s="12" t="s">
        <v>48</v>
      </c>
      <c r="AB61" s="11" t="s">
        <v>211</v>
      </c>
      <c r="AC61" s="12" t="s">
        <v>212</v>
      </c>
      <c r="AD61" s="11" t="s">
        <v>43</v>
      </c>
      <c r="AE61" s="12" t="s">
        <v>44</v>
      </c>
      <c r="AF61" s="14">
        <v>0.1974119</v>
      </c>
      <c r="AG61" s="11" t="s">
        <v>45</v>
      </c>
    </row>
    <row r="62" spans="1:33" x14ac:dyDescent="0.2">
      <c r="A62" s="8">
        <v>4424</v>
      </c>
      <c r="B62" s="9" t="s">
        <v>204</v>
      </c>
      <c r="C62" s="10">
        <v>43318</v>
      </c>
      <c r="D62" s="11">
        <v>43</v>
      </c>
      <c r="E62" s="12" t="s">
        <v>34</v>
      </c>
      <c r="F62" s="12" t="s">
        <v>35</v>
      </c>
      <c r="G62" s="12" t="s">
        <v>35</v>
      </c>
      <c r="H62" s="12" t="s">
        <v>36</v>
      </c>
      <c r="I62" s="11" t="s">
        <v>215</v>
      </c>
      <c r="J62" s="12" t="s">
        <v>216</v>
      </c>
      <c r="K62" s="13" t="s">
        <v>169</v>
      </c>
      <c r="L62" s="11" t="str">
        <f>"000113"</f>
        <v>000113</v>
      </c>
      <c r="M62" s="10">
        <v>42913</v>
      </c>
      <c r="N62" s="11" t="str">
        <f>"000026"</f>
        <v>000026</v>
      </c>
      <c r="O62" s="10">
        <v>42989</v>
      </c>
      <c r="P62" s="11" t="str">
        <f>"000046"</f>
        <v>000046</v>
      </c>
      <c r="Q62" s="10">
        <v>42989</v>
      </c>
      <c r="R62" s="11">
        <v>17</v>
      </c>
      <c r="S62" s="11" t="str">
        <f>"004759"</f>
        <v>004759</v>
      </c>
      <c r="T62" s="10">
        <v>43314</v>
      </c>
      <c r="U62" s="14">
        <v>24.70514</v>
      </c>
      <c r="V62" s="14">
        <v>3.3858299999999999</v>
      </c>
      <c r="W62" s="14">
        <v>21.319310000000002</v>
      </c>
      <c r="X62" s="11">
        <v>160</v>
      </c>
      <c r="Y62" s="10">
        <v>43318</v>
      </c>
      <c r="Z62" s="11">
        <v>9900333496</v>
      </c>
      <c r="AA62" s="12" t="s">
        <v>48</v>
      </c>
      <c r="AB62" s="11" t="s">
        <v>108</v>
      </c>
      <c r="AC62" s="12" t="s">
        <v>109</v>
      </c>
      <c r="AD62" s="11" t="s">
        <v>43</v>
      </c>
      <c r="AE62" s="12" t="s">
        <v>44</v>
      </c>
      <c r="AF62" s="14">
        <v>0.2470514</v>
      </c>
      <c r="AG62" s="11" t="s">
        <v>45</v>
      </c>
    </row>
    <row r="63" spans="1:33" x14ac:dyDescent="0.2">
      <c r="A63" s="8">
        <v>4425</v>
      </c>
      <c r="B63" s="9" t="s">
        <v>204</v>
      </c>
      <c r="C63" s="10">
        <v>43318</v>
      </c>
      <c r="D63" s="11">
        <v>43</v>
      </c>
      <c r="E63" s="12" t="s">
        <v>34</v>
      </c>
      <c r="F63" s="12" t="s">
        <v>35</v>
      </c>
      <c r="G63" s="12" t="s">
        <v>35</v>
      </c>
      <c r="H63" s="12" t="s">
        <v>36</v>
      </c>
      <c r="I63" s="11" t="s">
        <v>217</v>
      </c>
      <c r="J63" s="12" t="s">
        <v>218</v>
      </c>
      <c r="K63" s="13" t="s">
        <v>59</v>
      </c>
      <c r="L63" s="11" t="str">
        <f>"000490"</f>
        <v>000490</v>
      </c>
      <c r="M63" s="10">
        <v>42808</v>
      </c>
      <c r="N63" s="11" t="str">
        <f>"000161"</f>
        <v>000161</v>
      </c>
      <c r="O63" s="10">
        <v>42909</v>
      </c>
      <c r="P63" s="11" t="str">
        <f>"000308"</f>
        <v>000308</v>
      </c>
      <c r="Q63" s="10">
        <v>42909</v>
      </c>
      <c r="R63" s="11">
        <v>17</v>
      </c>
      <c r="S63" s="11" t="str">
        <f>"004839"</f>
        <v>004839</v>
      </c>
      <c r="T63" s="10">
        <v>43315</v>
      </c>
      <c r="U63" s="14">
        <v>19.808769999999999</v>
      </c>
      <c r="V63" s="14">
        <v>2.7758699999999998</v>
      </c>
      <c r="W63" s="14">
        <v>17.032900000000001</v>
      </c>
      <c r="X63" s="11">
        <v>160</v>
      </c>
      <c r="Y63" s="10">
        <v>43318</v>
      </c>
      <c r="Z63" s="11">
        <v>9900333496</v>
      </c>
      <c r="AA63" s="12" t="s">
        <v>48</v>
      </c>
      <c r="AB63" s="11" t="s">
        <v>134</v>
      </c>
      <c r="AC63" s="12" t="s">
        <v>135</v>
      </c>
      <c r="AD63" s="11" t="s">
        <v>43</v>
      </c>
      <c r="AE63" s="12" t="s">
        <v>44</v>
      </c>
      <c r="AF63" s="14">
        <v>0.19808769999999998</v>
      </c>
      <c r="AG63" s="11" t="s">
        <v>45</v>
      </c>
    </row>
    <row r="64" spans="1:33" x14ac:dyDescent="0.2">
      <c r="A64" s="8">
        <v>4663</v>
      </c>
      <c r="B64" s="9" t="s">
        <v>204</v>
      </c>
      <c r="C64" s="10">
        <v>43325</v>
      </c>
      <c r="D64" s="11">
        <v>43</v>
      </c>
      <c r="E64" s="12" t="s">
        <v>34</v>
      </c>
      <c r="F64" s="12" t="s">
        <v>35</v>
      </c>
      <c r="G64" s="12" t="s">
        <v>35</v>
      </c>
      <c r="H64" s="12" t="s">
        <v>36</v>
      </c>
      <c r="I64" s="11" t="s">
        <v>219</v>
      </c>
      <c r="J64" s="12" t="s">
        <v>220</v>
      </c>
      <c r="K64" s="13" t="s">
        <v>59</v>
      </c>
      <c r="L64" s="11" t="str">
        <f>"000136"</f>
        <v>000136</v>
      </c>
      <c r="M64" s="10">
        <v>43127</v>
      </c>
      <c r="N64" s="11" t="str">
        <f>"000074"</f>
        <v>000074</v>
      </c>
      <c r="O64" s="10">
        <v>43287</v>
      </c>
      <c r="P64" s="11" t="str">
        <f>"000151"</f>
        <v>000151</v>
      </c>
      <c r="Q64" s="10">
        <v>43288</v>
      </c>
      <c r="R64" s="11">
        <v>18</v>
      </c>
      <c r="S64" s="11" t="str">
        <f>"004282"</f>
        <v>004282</v>
      </c>
      <c r="T64" s="10">
        <v>43306</v>
      </c>
      <c r="U64" s="14">
        <v>19.99699</v>
      </c>
      <c r="V64" s="14">
        <v>2.3694700000000002</v>
      </c>
      <c r="W64" s="14">
        <v>17.627520000000001</v>
      </c>
      <c r="X64" s="11">
        <v>166</v>
      </c>
      <c r="Y64" s="10">
        <v>43325</v>
      </c>
      <c r="Z64" s="11">
        <v>9900333496</v>
      </c>
      <c r="AA64" s="12" t="s">
        <v>48</v>
      </c>
      <c r="AB64" s="11" t="s">
        <v>60</v>
      </c>
      <c r="AC64" s="12" t="s">
        <v>61</v>
      </c>
      <c r="AD64" s="11" t="s">
        <v>43</v>
      </c>
      <c r="AE64" s="12" t="s">
        <v>44</v>
      </c>
      <c r="AF64" s="14">
        <v>0.19996990000000001</v>
      </c>
      <c r="AG64" s="11" t="s">
        <v>90</v>
      </c>
    </row>
    <row r="65" spans="1:33" x14ac:dyDescent="0.2">
      <c r="A65" s="8">
        <v>4664</v>
      </c>
      <c r="B65" s="9" t="s">
        <v>204</v>
      </c>
      <c r="C65" s="10">
        <v>43325</v>
      </c>
      <c r="D65" s="11">
        <v>43</v>
      </c>
      <c r="E65" s="12" t="s">
        <v>34</v>
      </c>
      <c r="F65" s="12" t="s">
        <v>35</v>
      </c>
      <c r="G65" s="12" t="s">
        <v>35</v>
      </c>
      <c r="H65" s="12" t="s">
        <v>36</v>
      </c>
      <c r="I65" s="11" t="s">
        <v>221</v>
      </c>
      <c r="J65" s="12" t="s">
        <v>222</v>
      </c>
      <c r="K65" s="13" t="s">
        <v>59</v>
      </c>
      <c r="L65" s="11" t="str">
        <f>"000124"</f>
        <v>000124</v>
      </c>
      <c r="M65" s="10">
        <v>43124</v>
      </c>
      <c r="N65" s="11" t="str">
        <f>"000073"</f>
        <v>000073</v>
      </c>
      <c r="O65" s="10">
        <v>43287</v>
      </c>
      <c r="P65" s="11" t="str">
        <f>"000152"</f>
        <v>000152</v>
      </c>
      <c r="Q65" s="10">
        <v>43288</v>
      </c>
      <c r="R65" s="11">
        <v>18</v>
      </c>
      <c r="S65" s="11" t="str">
        <f>"004283"</f>
        <v>004283</v>
      </c>
      <c r="T65" s="10">
        <v>43306</v>
      </c>
      <c r="U65" s="14">
        <v>19.949919999999999</v>
      </c>
      <c r="V65" s="14">
        <v>2.3735599999999999</v>
      </c>
      <c r="W65" s="14">
        <v>17.576360000000001</v>
      </c>
      <c r="X65" s="11">
        <v>166</v>
      </c>
      <c r="Y65" s="10">
        <v>43325</v>
      </c>
      <c r="Z65" s="11">
        <v>9900333496</v>
      </c>
      <c r="AA65" s="12" t="s">
        <v>48</v>
      </c>
      <c r="AB65" s="11" t="s">
        <v>60</v>
      </c>
      <c r="AC65" s="12" t="s">
        <v>61</v>
      </c>
      <c r="AD65" s="11" t="s">
        <v>43</v>
      </c>
      <c r="AE65" s="12" t="s">
        <v>44</v>
      </c>
      <c r="AF65" s="14">
        <v>0.19949919999999999</v>
      </c>
      <c r="AG65" s="11" t="s">
        <v>90</v>
      </c>
    </row>
    <row r="66" spans="1:33" x14ac:dyDescent="0.2">
      <c r="A66" s="8">
        <v>4761</v>
      </c>
      <c r="B66" s="9" t="s">
        <v>204</v>
      </c>
      <c r="C66" s="10">
        <v>43326</v>
      </c>
      <c r="D66" s="11">
        <v>43</v>
      </c>
      <c r="E66" s="12" t="s">
        <v>34</v>
      </c>
      <c r="F66" s="12" t="s">
        <v>35</v>
      </c>
      <c r="G66" s="12" t="s">
        <v>35</v>
      </c>
      <c r="H66" s="12" t="s">
        <v>36</v>
      </c>
      <c r="I66" s="11" t="s">
        <v>223</v>
      </c>
      <c r="J66" s="12" t="s">
        <v>224</v>
      </c>
      <c r="K66" s="13" t="s">
        <v>59</v>
      </c>
      <c r="L66" s="11" t="str">
        <f>"000136"</f>
        <v>000136</v>
      </c>
      <c r="M66" s="10">
        <v>42550</v>
      </c>
      <c r="N66" s="11" t="str">
        <f>"000143"</f>
        <v>000143</v>
      </c>
      <c r="O66" s="10">
        <v>42906</v>
      </c>
      <c r="P66" s="11" t="str">
        <f>"000299"</f>
        <v>000299</v>
      </c>
      <c r="Q66" s="10">
        <v>42906</v>
      </c>
      <c r="R66" s="11">
        <v>16</v>
      </c>
      <c r="S66" s="11" t="str">
        <f>"005107"</f>
        <v>005107</v>
      </c>
      <c r="T66" s="10">
        <v>43325</v>
      </c>
      <c r="U66" s="14">
        <v>9.9078499999999998</v>
      </c>
      <c r="V66" s="14">
        <v>1.3192600000000001</v>
      </c>
      <c r="W66" s="14">
        <v>8.5885899999999999</v>
      </c>
      <c r="X66" s="11">
        <v>172</v>
      </c>
      <c r="Y66" s="10">
        <v>43326</v>
      </c>
      <c r="Z66" s="11">
        <v>9900333496</v>
      </c>
      <c r="AA66" s="12" t="s">
        <v>48</v>
      </c>
      <c r="AB66" s="11" t="s">
        <v>134</v>
      </c>
      <c r="AC66" s="12" t="s">
        <v>135</v>
      </c>
      <c r="AD66" s="11" t="s">
        <v>43</v>
      </c>
      <c r="AE66" s="12" t="s">
        <v>44</v>
      </c>
      <c r="AF66" s="14">
        <v>9.90785E-2</v>
      </c>
      <c r="AG66" s="11" t="s">
        <v>45</v>
      </c>
    </row>
    <row r="67" spans="1:33" x14ac:dyDescent="0.2">
      <c r="A67" s="8">
        <v>4762</v>
      </c>
      <c r="B67" s="9" t="s">
        <v>204</v>
      </c>
      <c r="C67" s="10">
        <v>43326</v>
      </c>
      <c r="D67" s="11">
        <v>43</v>
      </c>
      <c r="E67" s="12" t="s">
        <v>34</v>
      </c>
      <c r="F67" s="12" t="s">
        <v>35</v>
      </c>
      <c r="G67" s="12" t="s">
        <v>35</v>
      </c>
      <c r="H67" s="12" t="s">
        <v>36</v>
      </c>
      <c r="I67" s="11" t="s">
        <v>225</v>
      </c>
      <c r="J67" s="12" t="s">
        <v>226</v>
      </c>
      <c r="K67" s="13" t="s">
        <v>51</v>
      </c>
      <c r="L67" s="11" t="str">
        <f>"00.024"</f>
        <v>00.024</v>
      </c>
      <c r="M67" s="10">
        <v>42705</v>
      </c>
      <c r="N67" s="11" t="str">
        <f>"00.017"</f>
        <v>00.017</v>
      </c>
      <c r="O67" s="10">
        <v>42791</v>
      </c>
      <c r="P67" s="11" t="str">
        <f>"000018"</f>
        <v>000018</v>
      </c>
      <c r="Q67" s="10">
        <v>42853</v>
      </c>
      <c r="R67" s="11">
        <v>17</v>
      </c>
      <c r="S67" s="11" t="str">
        <f>"005143"</f>
        <v>005143</v>
      </c>
      <c r="T67" s="10">
        <v>43325</v>
      </c>
      <c r="U67" s="14">
        <v>9.65367</v>
      </c>
      <c r="V67" s="14">
        <v>1.1857200000000001</v>
      </c>
      <c r="W67" s="14">
        <v>8.4679500000000001</v>
      </c>
      <c r="X67" s="11">
        <v>172</v>
      </c>
      <c r="Y67" s="10">
        <v>43326</v>
      </c>
      <c r="Z67" s="11">
        <v>9886985562</v>
      </c>
      <c r="AA67" s="12" t="s">
        <v>197</v>
      </c>
      <c r="AB67" s="11" t="s">
        <v>198</v>
      </c>
      <c r="AC67" s="12" t="s">
        <v>199</v>
      </c>
      <c r="AD67" s="11" t="s">
        <v>55</v>
      </c>
      <c r="AE67" s="12" t="s">
        <v>56</v>
      </c>
      <c r="AF67" s="14">
        <v>9.6536700000000003E-2</v>
      </c>
      <c r="AG67" s="11" t="s">
        <v>45</v>
      </c>
    </row>
    <row r="68" spans="1:33" x14ac:dyDescent="0.2">
      <c r="A68" s="8">
        <v>5211</v>
      </c>
      <c r="B68" s="9" t="s">
        <v>227</v>
      </c>
      <c r="C68" s="10">
        <v>43346</v>
      </c>
      <c r="D68" s="11">
        <v>43</v>
      </c>
      <c r="E68" s="12" t="s">
        <v>34</v>
      </c>
      <c r="F68" s="12" t="s">
        <v>35</v>
      </c>
      <c r="G68" s="12" t="s">
        <v>35</v>
      </c>
      <c r="H68" s="12" t="s">
        <v>36</v>
      </c>
      <c r="I68" s="11" t="s">
        <v>228</v>
      </c>
      <c r="J68" s="12" t="s">
        <v>229</v>
      </c>
      <c r="K68" s="13" t="s">
        <v>51</v>
      </c>
      <c r="L68" s="11" t="str">
        <f>"000013"</f>
        <v>000013</v>
      </c>
      <c r="M68" s="10">
        <v>42853</v>
      </c>
      <c r="N68" s="11" t="str">
        <f>"001061"</f>
        <v>001061</v>
      </c>
      <c r="O68" s="10">
        <v>42885</v>
      </c>
      <c r="P68" s="11" t="str">
        <f>"000230"</f>
        <v>000230</v>
      </c>
      <c r="Q68" s="10">
        <v>42886</v>
      </c>
      <c r="R68" s="11">
        <v>17</v>
      </c>
      <c r="S68" s="11" t="str">
        <f>"005507"</f>
        <v>005507</v>
      </c>
      <c r="T68" s="10">
        <v>43341</v>
      </c>
      <c r="U68" s="14">
        <v>4.8624700000000001</v>
      </c>
      <c r="V68" s="14">
        <v>0.58972999999999998</v>
      </c>
      <c r="W68" s="14">
        <v>4.2727399999999998</v>
      </c>
      <c r="X68" s="11">
        <v>189</v>
      </c>
      <c r="Y68" s="10">
        <v>43346</v>
      </c>
      <c r="Z68" s="11">
        <v>9900333496</v>
      </c>
      <c r="AA68" s="12" t="s">
        <v>89</v>
      </c>
      <c r="AB68" s="11" t="s">
        <v>207</v>
      </c>
      <c r="AC68" s="12" t="s">
        <v>208</v>
      </c>
      <c r="AD68" s="11" t="s">
        <v>43</v>
      </c>
      <c r="AE68" s="12" t="s">
        <v>44</v>
      </c>
      <c r="AF68" s="14">
        <f t="shared" ref="AF68:AF120" si="0">U68/100</f>
        <v>4.86247E-2</v>
      </c>
      <c r="AG68" s="11" t="s">
        <v>45</v>
      </c>
    </row>
    <row r="69" spans="1:33" x14ac:dyDescent="0.2">
      <c r="A69" s="8">
        <v>5212</v>
      </c>
      <c r="B69" s="9" t="s">
        <v>227</v>
      </c>
      <c r="C69" s="10">
        <v>43346</v>
      </c>
      <c r="D69" s="11">
        <v>43</v>
      </c>
      <c r="E69" s="12" t="s">
        <v>34</v>
      </c>
      <c r="F69" s="12" t="s">
        <v>35</v>
      </c>
      <c r="G69" s="12" t="s">
        <v>35</v>
      </c>
      <c r="H69" s="12" t="s">
        <v>36</v>
      </c>
      <c r="I69" s="11" t="s">
        <v>230</v>
      </c>
      <c r="J69" s="12" t="s">
        <v>231</v>
      </c>
      <c r="K69" s="13" t="s">
        <v>39</v>
      </c>
      <c r="L69" s="11" t="str">
        <f>"000253"</f>
        <v>000253</v>
      </c>
      <c r="M69" s="10">
        <v>43155</v>
      </c>
      <c r="N69" s="11" t="str">
        <f>"000111"</f>
        <v>000111</v>
      </c>
      <c r="O69" s="10">
        <v>43312</v>
      </c>
      <c r="P69" s="11" t="str">
        <f>"000216"</f>
        <v>000216</v>
      </c>
      <c r="Q69" s="10">
        <v>43315</v>
      </c>
      <c r="R69" s="11">
        <v>18</v>
      </c>
      <c r="S69" s="11" t="str">
        <f>"005531"</f>
        <v>005531</v>
      </c>
      <c r="T69" s="10">
        <v>43341</v>
      </c>
      <c r="U69" s="14">
        <v>49.984549999999999</v>
      </c>
      <c r="V69" s="14">
        <v>5.5039499999999997</v>
      </c>
      <c r="W69" s="14">
        <v>44.480600000000003</v>
      </c>
      <c r="X69" s="11">
        <v>192</v>
      </c>
      <c r="Y69" s="10">
        <v>43346</v>
      </c>
      <c r="Z69" s="11">
        <v>9900333496</v>
      </c>
      <c r="AA69" s="12" t="s">
        <v>48</v>
      </c>
      <c r="AB69" s="11" t="s">
        <v>41</v>
      </c>
      <c r="AC69" s="12" t="s">
        <v>42</v>
      </c>
      <c r="AD69" s="11" t="s">
        <v>43</v>
      </c>
      <c r="AE69" s="12" t="s">
        <v>44</v>
      </c>
      <c r="AF69" s="14">
        <f t="shared" si="0"/>
        <v>0.4998455</v>
      </c>
      <c r="AG69" s="11" t="s">
        <v>90</v>
      </c>
    </row>
    <row r="70" spans="1:33" x14ac:dyDescent="0.2">
      <c r="A70" s="8">
        <v>5213</v>
      </c>
      <c r="B70" s="9" t="s">
        <v>227</v>
      </c>
      <c r="C70" s="10">
        <v>43346</v>
      </c>
      <c r="D70" s="11">
        <v>43</v>
      </c>
      <c r="E70" s="12" t="s">
        <v>34</v>
      </c>
      <c r="F70" s="12" t="s">
        <v>35</v>
      </c>
      <c r="G70" s="12" t="s">
        <v>35</v>
      </c>
      <c r="H70" s="12" t="s">
        <v>36</v>
      </c>
      <c r="I70" s="11" t="s">
        <v>232</v>
      </c>
      <c r="J70" s="12" t="s">
        <v>233</v>
      </c>
      <c r="K70" s="13" t="s">
        <v>59</v>
      </c>
      <c r="L70" s="11" t="str">
        <f>"000088"</f>
        <v>000088</v>
      </c>
      <c r="M70" s="10">
        <v>42944</v>
      </c>
      <c r="N70" s="11" t="str">
        <f>"000114"</f>
        <v>000114</v>
      </c>
      <c r="O70" s="10">
        <v>43315</v>
      </c>
      <c r="P70" s="11" t="str">
        <f>"000217"</f>
        <v>000217</v>
      </c>
      <c r="Q70" s="10">
        <v>43315</v>
      </c>
      <c r="R70" s="11">
        <v>17</v>
      </c>
      <c r="S70" s="11" t="str">
        <f>"005532"</f>
        <v>005532</v>
      </c>
      <c r="T70" s="10">
        <v>43341</v>
      </c>
      <c r="U70" s="14">
        <v>118.67965</v>
      </c>
      <c r="V70" s="14">
        <v>11.467829999999999</v>
      </c>
      <c r="W70" s="14">
        <v>107.21182</v>
      </c>
      <c r="X70" s="11">
        <v>192</v>
      </c>
      <c r="Y70" s="10">
        <v>43346</v>
      </c>
      <c r="Z70" s="11">
        <v>9900333496</v>
      </c>
      <c r="AA70" s="12" t="s">
        <v>48</v>
      </c>
      <c r="AB70" s="11" t="s">
        <v>41</v>
      </c>
      <c r="AC70" s="12" t="s">
        <v>42</v>
      </c>
      <c r="AD70" s="11" t="s">
        <v>43</v>
      </c>
      <c r="AE70" s="12" t="s">
        <v>44</v>
      </c>
      <c r="AF70" s="14">
        <f t="shared" si="0"/>
        <v>1.1867965</v>
      </c>
      <c r="AG70" s="11" t="s">
        <v>90</v>
      </c>
    </row>
    <row r="71" spans="1:33" x14ac:dyDescent="0.2">
      <c r="A71" s="8">
        <v>5560</v>
      </c>
      <c r="B71" s="9" t="s">
        <v>227</v>
      </c>
      <c r="C71" s="10">
        <v>43363</v>
      </c>
      <c r="D71" s="11">
        <v>43</v>
      </c>
      <c r="E71" s="12" t="s">
        <v>34</v>
      </c>
      <c r="F71" s="12" t="s">
        <v>35</v>
      </c>
      <c r="G71" s="12" t="s">
        <v>35</v>
      </c>
      <c r="H71" s="12" t="s">
        <v>36</v>
      </c>
      <c r="I71" s="11" t="s">
        <v>234</v>
      </c>
      <c r="J71" s="12" t="s">
        <v>235</v>
      </c>
      <c r="K71" s="13" t="s">
        <v>51</v>
      </c>
      <c r="L71" s="11" t="str">
        <f>"000495"</f>
        <v>000495</v>
      </c>
      <c r="M71" s="10">
        <v>43187</v>
      </c>
      <c r="N71" s="11" t="str">
        <f>"000128"</f>
        <v>000128</v>
      </c>
      <c r="O71" s="10">
        <v>43325</v>
      </c>
      <c r="P71" s="11" t="str">
        <f>"000238"</f>
        <v>000238</v>
      </c>
      <c r="Q71" s="10">
        <v>43326</v>
      </c>
      <c r="R71" s="11">
        <v>17</v>
      </c>
      <c r="S71" s="11" t="str">
        <f>"005807"</f>
        <v>005807</v>
      </c>
      <c r="T71" s="10">
        <v>43362</v>
      </c>
      <c r="U71" s="14">
        <v>159.36596</v>
      </c>
      <c r="V71" s="14">
        <v>4.4643800000000002</v>
      </c>
      <c r="W71" s="14">
        <v>154.90158</v>
      </c>
      <c r="X71" s="11">
        <v>208</v>
      </c>
      <c r="Y71" s="10">
        <v>43363</v>
      </c>
      <c r="Z71" s="11">
        <v>0</v>
      </c>
      <c r="AA71" s="12" t="s">
        <v>236</v>
      </c>
      <c r="AB71" s="11" t="s">
        <v>82</v>
      </c>
      <c r="AC71" s="12" t="s">
        <v>83</v>
      </c>
      <c r="AD71" s="11" t="s">
        <v>43</v>
      </c>
      <c r="AE71" s="12" t="s">
        <v>44</v>
      </c>
      <c r="AF71" s="14">
        <f t="shared" si="0"/>
        <v>1.5936596000000001</v>
      </c>
      <c r="AG71" s="11" t="s">
        <v>90</v>
      </c>
    </row>
    <row r="72" spans="1:33" x14ac:dyDescent="0.2">
      <c r="A72" s="8">
        <v>5624</v>
      </c>
      <c r="B72" s="9" t="s">
        <v>227</v>
      </c>
      <c r="C72" s="10">
        <v>43370</v>
      </c>
      <c r="D72" s="11">
        <v>43</v>
      </c>
      <c r="E72" s="12" t="s">
        <v>34</v>
      </c>
      <c r="F72" s="12" t="s">
        <v>35</v>
      </c>
      <c r="G72" s="12" t="s">
        <v>35</v>
      </c>
      <c r="H72" s="12" t="s">
        <v>36</v>
      </c>
      <c r="I72" s="11" t="s">
        <v>237</v>
      </c>
      <c r="J72" s="12" t="s">
        <v>238</v>
      </c>
      <c r="K72" s="13" t="s">
        <v>78</v>
      </c>
      <c r="L72" s="11" t="str">
        <f>"000178"</f>
        <v>000178</v>
      </c>
      <c r="M72" s="10">
        <v>42592</v>
      </c>
      <c r="N72" s="11" t="str">
        <f>"000324"</f>
        <v>000324</v>
      </c>
      <c r="O72" s="10">
        <v>42632</v>
      </c>
      <c r="P72" s="11" t="str">
        <f>"000697"</f>
        <v>000697</v>
      </c>
      <c r="Q72" s="10">
        <v>42633</v>
      </c>
      <c r="R72" s="11">
        <v>16</v>
      </c>
      <c r="S72" s="11" t="str">
        <f>"005772"</f>
        <v>005772</v>
      </c>
      <c r="T72" s="10">
        <v>43360</v>
      </c>
      <c r="U72" s="14">
        <v>9.4925300000000004</v>
      </c>
      <c r="V72" s="14">
        <v>1.13822</v>
      </c>
      <c r="W72" s="14">
        <v>8.3543099999999999</v>
      </c>
      <c r="X72" s="11">
        <v>216</v>
      </c>
      <c r="Y72" s="10">
        <v>43370</v>
      </c>
      <c r="Z72" s="11">
        <v>0</v>
      </c>
      <c r="AA72" s="12" t="s">
        <v>239</v>
      </c>
      <c r="AB72" s="11" t="s">
        <v>182</v>
      </c>
      <c r="AC72" s="12" t="s">
        <v>183</v>
      </c>
      <c r="AD72" s="11" t="s">
        <v>43</v>
      </c>
      <c r="AE72" s="12" t="s">
        <v>44</v>
      </c>
      <c r="AF72" s="14">
        <f t="shared" si="0"/>
        <v>9.4925300000000004E-2</v>
      </c>
      <c r="AG72" s="11" t="s">
        <v>45</v>
      </c>
    </row>
    <row r="73" spans="1:33" x14ac:dyDescent="0.2">
      <c r="A73" s="8">
        <v>5625</v>
      </c>
      <c r="B73" s="9" t="s">
        <v>227</v>
      </c>
      <c r="C73" s="10">
        <v>43370</v>
      </c>
      <c r="D73" s="11">
        <v>43</v>
      </c>
      <c r="E73" s="12" t="s">
        <v>34</v>
      </c>
      <c r="F73" s="12" t="s">
        <v>35</v>
      </c>
      <c r="G73" s="12" t="s">
        <v>35</v>
      </c>
      <c r="H73" s="12" t="s">
        <v>36</v>
      </c>
      <c r="I73" s="11" t="s">
        <v>240</v>
      </c>
      <c r="J73" s="12" t="s">
        <v>241</v>
      </c>
      <c r="K73" s="13" t="s">
        <v>78</v>
      </c>
      <c r="L73" s="11" t="str">
        <f>"000174"</f>
        <v>000174</v>
      </c>
      <c r="M73" s="10">
        <v>42592</v>
      </c>
      <c r="N73" s="11" t="str">
        <f>"000331"</f>
        <v>000331</v>
      </c>
      <c r="O73" s="10">
        <v>42630</v>
      </c>
      <c r="P73" s="11" t="str">
        <f>"000725"</f>
        <v>000725</v>
      </c>
      <c r="Q73" s="10">
        <v>42704</v>
      </c>
      <c r="R73" s="11">
        <v>16</v>
      </c>
      <c r="S73" s="11" t="str">
        <f>"005774"</f>
        <v>005774</v>
      </c>
      <c r="T73" s="10">
        <v>43360</v>
      </c>
      <c r="U73" s="14">
        <v>14.51953</v>
      </c>
      <c r="V73" s="14">
        <v>2.0352100000000002</v>
      </c>
      <c r="W73" s="14">
        <v>12.48432</v>
      </c>
      <c r="X73" s="11">
        <v>216</v>
      </c>
      <c r="Y73" s="10">
        <v>43370</v>
      </c>
      <c r="Z73" s="11">
        <v>9900333496</v>
      </c>
      <c r="AA73" s="12" t="s">
        <v>48</v>
      </c>
      <c r="AB73" s="11" t="s">
        <v>198</v>
      </c>
      <c r="AC73" s="12" t="s">
        <v>199</v>
      </c>
      <c r="AD73" s="11" t="s">
        <v>43</v>
      </c>
      <c r="AE73" s="12" t="s">
        <v>44</v>
      </c>
      <c r="AF73" s="14">
        <f t="shared" si="0"/>
        <v>0.1451953</v>
      </c>
      <c r="AG73" s="11" t="s">
        <v>45</v>
      </c>
    </row>
    <row r="74" spans="1:33" x14ac:dyDescent="0.2">
      <c r="A74" s="8">
        <v>5626</v>
      </c>
      <c r="B74" s="9" t="s">
        <v>227</v>
      </c>
      <c r="C74" s="10">
        <v>43370</v>
      </c>
      <c r="D74" s="11">
        <v>43</v>
      </c>
      <c r="E74" s="12" t="s">
        <v>34</v>
      </c>
      <c r="F74" s="12" t="s">
        <v>35</v>
      </c>
      <c r="G74" s="12" t="s">
        <v>35</v>
      </c>
      <c r="H74" s="12" t="s">
        <v>36</v>
      </c>
      <c r="I74" s="11" t="s">
        <v>242</v>
      </c>
      <c r="J74" s="12" t="s">
        <v>243</v>
      </c>
      <c r="K74" s="13" t="s">
        <v>59</v>
      </c>
      <c r="L74" s="11" t="str">
        <f>"000085"</f>
        <v>000085</v>
      </c>
      <c r="M74" s="10">
        <v>42913</v>
      </c>
      <c r="N74" s="11" t="str">
        <f>"000049"</f>
        <v>000049</v>
      </c>
      <c r="O74" s="10">
        <v>43018</v>
      </c>
      <c r="P74" s="11" t="str">
        <f>"000077"</f>
        <v>000077</v>
      </c>
      <c r="Q74" s="10">
        <v>43018</v>
      </c>
      <c r="R74" s="11">
        <v>17</v>
      </c>
      <c r="S74" s="11" t="str">
        <f>"005930"</f>
        <v>005930</v>
      </c>
      <c r="T74" s="10">
        <v>43368</v>
      </c>
      <c r="U74" s="14">
        <v>9.9020399999999995</v>
      </c>
      <c r="V74" s="14">
        <v>1.40022</v>
      </c>
      <c r="W74" s="14">
        <v>8.5018200000000004</v>
      </c>
      <c r="X74" s="11">
        <v>218</v>
      </c>
      <c r="Y74" s="10">
        <v>43370</v>
      </c>
      <c r="Z74" s="11">
        <v>9900333496</v>
      </c>
      <c r="AA74" s="12" t="s">
        <v>48</v>
      </c>
      <c r="AB74" s="11" t="s">
        <v>134</v>
      </c>
      <c r="AC74" s="12" t="s">
        <v>135</v>
      </c>
      <c r="AD74" s="11" t="s">
        <v>43</v>
      </c>
      <c r="AE74" s="12" t="s">
        <v>44</v>
      </c>
      <c r="AF74" s="14">
        <f t="shared" si="0"/>
        <v>9.9020399999999995E-2</v>
      </c>
      <c r="AG74" s="11" t="s">
        <v>45</v>
      </c>
    </row>
    <row r="75" spans="1:33" x14ac:dyDescent="0.2">
      <c r="A75" s="8">
        <v>5627</v>
      </c>
      <c r="B75" s="9" t="s">
        <v>227</v>
      </c>
      <c r="C75" s="10">
        <v>43370</v>
      </c>
      <c r="D75" s="11">
        <v>43</v>
      </c>
      <c r="E75" s="12" t="s">
        <v>34</v>
      </c>
      <c r="F75" s="12" t="s">
        <v>35</v>
      </c>
      <c r="G75" s="12" t="s">
        <v>35</v>
      </c>
      <c r="H75" s="12" t="s">
        <v>36</v>
      </c>
      <c r="I75" s="11" t="s">
        <v>244</v>
      </c>
      <c r="J75" s="12" t="s">
        <v>245</v>
      </c>
      <c r="K75" s="13" t="s">
        <v>51</v>
      </c>
      <c r="L75" s="11" t="str">
        <f>"000039"</f>
        <v>000039</v>
      </c>
      <c r="M75" s="10">
        <v>42934</v>
      </c>
      <c r="N75" s="11" t="str">
        <f>"000014"</f>
        <v>000014</v>
      </c>
      <c r="O75" s="10">
        <v>42977</v>
      </c>
      <c r="P75" s="11" t="str">
        <f>"000015"</f>
        <v>000015</v>
      </c>
      <c r="Q75" s="10">
        <v>42977</v>
      </c>
      <c r="R75" s="11">
        <v>17</v>
      </c>
      <c r="S75" s="11" t="str">
        <f>"005827"</f>
        <v>005827</v>
      </c>
      <c r="T75" s="10">
        <v>43362</v>
      </c>
      <c r="U75" s="14">
        <v>19.793299999999999</v>
      </c>
      <c r="V75" s="14">
        <v>2.6657600000000001</v>
      </c>
      <c r="W75" s="14">
        <v>17.12754</v>
      </c>
      <c r="X75" s="11">
        <v>219</v>
      </c>
      <c r="Y75" s="10">
        <v>43370</v>
      </c>
      <c r="Z75" s="11">
        <v>9900333496</v>
      </c>
      <c r="AA75" s="12" t="s">
        <v>48</v>
      </c>
      <c r="AB75" s="11" t="s">
        <v>211</v>
      </c>
      <c r="AC75" s="12" t="s">
        <v>212</v>
      </c>
      <c r="AD75" s="11" t="s">
        <v>43</v>
      </c>
      <c r="AE75" s="12" t="s">
        <v>44</v>
      </c>
      <c r="AF75" s="14">
        <f t="shared" si="0"/>
        <v>0.197933</v>
      </c>
      <c r="AG75" s="11" t="s">
        <v>45</v>
      </c>
    </row>
    <row r="76" spans="1:33" x14ac:dyDescent="0.2">
      <c r="A76" s="8">
        <v>5878</v>
      </c>
      <c r="B76" s="9" t="s">
        <v>246</v>
      </c>
      <c r="C76" s="10">
        <v>43383</v>
      </c>
      <c r="D76" s="11">
        <v>43</v>
      </c>
      <c r="E76" s="12" t="s">
        <v>34</v>
      </c>
      <c r="F76" s="12" t="s">
        <v>35</v>
      </c>
      <c r="G76" s="12" t="s">
        <v>35</v>
      </c>
      <c r="H76" s="12" t="s">
        <v>36</v>
      </c>
      <c r="I76" s="11" t="s">
        <v>247</v>
      </c>
      <c r="J76" s="12" t="s">
        <v>248</v>
      </c>
      <c r="K76" s="13" t="s">
        <v>78</v>
      </c>
      <c r="L76" s="11" t="str">
        <f>"000125"</f>
        <v>000125</v>
      </c>
      <c r="M76" s="10">
        <v>43124</v>
      </c>
      <c r="N76" s="11" t="str">
        <f>"000134"</f>
        <v>000134</v>
      </c>
      <c r="O76" s="10">
        <v>43335</v>
      </c>
      <c r="P76" s="11" t="str">
        <f>"000246"</f>
        <v>000246</v>
      </c>
      <c r="Q76" s="10">
        <v>43335</v>
      </c>
      <c r="R76" s="11">
        <v>18</v>
      </c>
      <c r="S76" s="11" t="str">
        <f>"006206"</f>
        <v>006206</v>
      </c>
      <c r="T76" s="10">
        <v>43379</v>
      </c>
      <c r="U76" s="14">
        <v>19.979310000000002</v>
      </c>
      <c r="V76" s="14">
        <v>2.42632</v>
      </c>
      <c r="W76" s="14">
        <v>17.552990000000001</v>
      </c>
      <c r="X76" s="11">
        <v>225</v>
      </c>
      <c r="Y76" s="10">
        <v>43383</v>
      </c>
      <c r="Z76" s="11">
        <v>9900333496</v>
      </c>
      <c r="AA76" s="12" t="s">
        <v>48</v>
      </c>
      <c r="AB76" s="11" t="s">
        <v>60</v>
      </c>
      <c r="AC76" s="12" t="s">
        <v>61</v>
      </c>
      <c r="AD76" s="11" t="s">
        <v>43</v>
      </c>
      <c r="AE76" s="12" t="s">
        <v>44</v>
      </c>
      <c r="AF76" s="14">
        <f t="shared" si="0"/>
        <v>0.19979310000000003</v>
      </c>
      <c r="AG76" s="11" t="s">
        <v>90</v>
      </c>
    </row>
    <row r="77" spans="1:33" x14ac:dyDescent="0.2">
      <c r="A77" s="8">
        <v>5879</v>
      </c>
      <c r="B77" s="9" t="s">
        <v>246</v>
      </c>
      <c r="C77" s="10">
        <v>43383</v>
      </c>
      <c r="D77" s="11">
        <v>43</v>
      </c>
      <c r="E77" s="12" t="s">
        <v>34</v>
      </c>
      <c r="F77" s="12" t="s">
        <v>35</v>
      </c>
      <c r="G77" s="12" t="s">
        <v>35</v>
      </c>
      <c r="H77" s="12" t="s">
        <v>36</v>
      </c>
      <c r="I77" s="11" t="s">
        <v>247</v>
      </c>
      <c r="J77" s="12" t="s">
        <v>248</v>
      </c>
      <c r="K77" s="13" t="s">
        <v>78</v>
      </c>
      <c r="L77" s="11" t="str">
        <f>"000125"</f>
        <v>000125</v>
      </c>
      <c r="M77" s="10">
        <v>43124</v>
      </c>
      <c r="N77" s="11" t="str">
        <f>"000134"</f>
        <v>000134</v>
      </c>
      <c r="O77" s="10">
        <v>43335</v>
      </c>
      <c r="P77" s="11" t="str">
        <f>"000246"</f>
        <v>000246</v>
      </c>
      <c r="Q77" s="10">
        <v>43335</v>
      </c>
      <c r="R77" s="11">
        <v>18</v>
      </c>
      <c r="S77" s="11" t="str">
        <f>"006206"</f>
        <v>006206</v>
      </c>
      <c r="T77" s="10">
        <v>43379</v>
      </c>
      <c r="U77" s="14">
        <v>19.979310000000002</v>
      </c>
      <c r="V77" s="14">
        <v>2.42632</v>
      </c>
      <c r="W77" s="14">
        <v>17.552990000000001</v>
      </c>
      <c r="X77" s="11">
        <v>225</v>
      </c>
      <c r="Y77" s="10">
        <v>43383</v>
      </c>
      <c r="Z77" s="11">
        <v>9900333496</v>
      </c>
      <c r="AA77" s="12" t="s">
        <v>48</v>
      </c>
      <c r="AB77" s="11" t="s">
        <v>60</v>
      </c>
      <c r="AC77" s="12" t="s">
        <v>61</v>
      </c>
      <c r="AD77" s="11" t="s">
        <v>43</v>
      </c>
      <c r="AE77" s="12" t="s">
        <v>44</v>
      </c>
      <c r="AF77" s="14">
        <f t="shared" si="0"/>
        <v>0.19979310000000003</v>
      </c>
      <c r="AG77" s="11" t="s">
        <v>90</v>
      </c>
    </row>
    <row r="78" spans="1:33" x14ac:dyDescent="0.2">
      <c r="A78" s="8">
        <v>5999</v>
      </c>
      <c r="B78" s="9" t="s">
        <v>246</v>
      </c>
      <c r="C78" s="10">
        <v>43385</v>
      </c>
      <c r="D78" s="11">
        <v>43</v>
      </c>
      <c r="E78" s="12" t="s">
        <v>34</v>
      </c>
      <c r="F78" s="12" t="s">
        <v>35</v>
      </c>
      <c r="G78" s="12" t="s">
        <v>35</v>
      </c>
      <c r="H78" s="12" t="s">
        <v>36</v>
      </c>
      <c r="I78" s="11" t="s">
        <v>249</v>
      </c>
      <c r="J78" s="12" t="s">
        <v>250</v>
      </c>
      <c r="K78" s="13" t="s">
        <v>51</v>
      </c>
      <c r="L78" s="11" t="str">
        <f>"000115"</f>
        <v>000115</v>
      </c>
      <c r="M78" s="10">
        <v>42913</v>
      </c>
      <c r="N78" s="11" t="str">
        <f>"000032"</f>
        <v>000032</v>
      </c>
      <c r="O78" s="10">
        <v>42999</v>
      </c>
      <c r="P78" s="11" t="str">
        <f>"000052"</f>
        <v>000052</v>
      </c>
      <c r="Q78" s="10">
        <v>42999</v>
      </c>
      <c r="R78" s="11">
        <v>17</v>
      </c>
      <c r="S78" s="11" t="str">
        <f>"006176"</f>
        <v>006176</v>
      </c>
      <c r="T78" s="10">
        <v>43377</v>
      </c>
      <c r="U78" s="14">
        <v>19.88814</v>
      </c>
      <c r="V78" s="14">
        <v>2.6064699999999998</v>
      </c>
      <c r="W78" s="14">
        <v>17.281669999999998</v>
      </c>
      <c r="X78" s="11">
        <v>229</v>
      </c>
      <c r="Y78" s="10">
        <v>43385</v>
      </c>
      <c r="Z78" s="11">
        <v>9900333496</v>
      </c>
      <c r="AA78" s="12" t="s">
        <v>48</v>
      </c>
      <c r="AB78" s="11" t="s">
        <v>108</v>
      </c>
      <c r="AC78" s="12" t="s">
        <v>109</v>
      </c>
      <c r="AD78" s="11" t="s">
        <v>43</v>
      </c>
      <c r="AE78" s="12" t="s">
        <v>44</v>
      </c>
      <c r="AF78" s="14">
        <f t="shared" si="0"/>
        <v>0.19888139999999999</v>
      </c>
      <c r="AG78" s="11" t="s">
        <v>45</v>
      </c>
    </row>
    <row r="79" spans="1:33" x14ac:dyDescent="0.2">
      <c r="A79" s="8">
        <v>6000</v>
      </c>
      <c r="B79" s="9" t="s">
        <v>246</v>
      </c>
      <c r="C79" s="10">
        <v>43385</v>
      </c>
      <c r="D79" s="11">
        <v>43</v>
      </c>
      <c r="E79" s="12" t="s">
        <v>34</v>
      </c>
      <c r="F79" s="12" t="s">
        <v>35</v>
      </c>
      <c r="G79" s="12" t="s">
        <v>35</v>
      </c>
      <c r="H79" s="12" t="s">
        <v>36</v>
      </c>
      <c r="I79" s="11" t="s">
        <v>251</v>
      </c>
      <c r="J79" s="12" t="s">
        <v>252</v>
      </c>
      <c r="K79" s="13" t="s">
        <v>51</v>
      </c>
      <c r="L79" s="11" t="str">
        <f>"000114"</f>
        <v>000114</v>
      </c>
      <c r="M79" s="10">
        <v>42913</v>
      </c>
      <c r="N79" s="11" t="str">
        <f>"000031"</f>
        <v>000031</v>
      </c>
      <c r="O79" s="10">
        <v>42999</v>
      </c>
      <c r="P79" s="11" t="str">
        <f>"000053"</f>
        <v>000053</v>
      </c>
      <c r="Q79" s="10">
        <v>42999</v>
      </c>
      <c r="R79" s="11">
        <v>17</v>
      </c>
      <c r="S79" s="11" t="str">
        <f>"006177"</f>
        <v>006177</v>
      </c>
      <c r="T79" s="10">
        <v>43377</v>
      </c>
      <c r="U79" s="14">
        <v>19.7835</v>
      </c>
      <c r="V79" s="14">
        <v>2.5937999999999999</v>
      </c>
      <c r="W79" s="14">
        <v>17.189699999999998</v>
      </c>
      <c r="X79" s="11">
        <v>229</v>
      </c>
      <c r="Y79" s="10">
        <v>43385</v>
      </c>
      <c r="Z79" s="11">
        <v>9900333496</v>
      </c>
      <c r="AA79" s="12" t="s">
        <v>48</v>
      </c>
      <c r="AB79" s="11" t="s">
        <v>108</v>
      </c>
      <c r="AC79" s="12" t="s">
        <v>109</v>
      </c>
      <c r="AD79" s="11" t="s">
        <v>43</v>
      </c>
      <c r="AE79" s="12" t="s">
        <v>44</v>
      </c>
      <c r="AF79" s="14">
        <f t="shared" si="0"/>
        <v>0.19783500000000001</v>
      </c>
      <c r="AG79" s="11" t="s">
        <v>45</v>
      </c>
    </row>
    <row r="80" spans="1:33" x14ac:dyDescent="0.2">
      <c r="A80" s="8">
        <v>6001</v>
      </c>
      <c r="B80" s="9" t="s">
        <v>246</v>
      </c>
      <c r="C80" s="10">
        <v>43385</v>
      </c>
      <c r="D80" s="11">
        <v>43</v>
      </c>
      <c r="E80" s="12" t="s">
        <v>34</v>
      </c>
      <c r="F80" s="12" t="s">
        <v>35</v>
      </c>
      <c r="G80" s="12" t="s">
        <v>35</v>
      </c>
      <c r="H80" s="12" t="s">
        <v>36</v>
      </c>
      <c r="I80" s="11" t="s">
        <v>253</v>
      </c>
      <c r="J80" s="12" t="s">
        <v>254</v>
      </c>
      <c r="K80" s="13" t="s">
        <v>51</v>
      </c>
      <c r="L80" s="11" t="str">
        <f>"00.004"</f>
        <v>00.004</v>
      </c>
      <c r="M80" s="10">
        <v>42860</v>
      </c>
      <c r="N80" s="11" t="str">
        <f>"000035"</f>
        <v>000035</v>
      </c>
      <c r="O80" s="10">
        <v>43002</v>
      </c>
      <c r="P80" s="11" t="str">
        <f>"000015"</f>
        <v>000015</v>
      </c>
      <c r="Q80" s="10">
        <v>43003</v>
      </c>
      <c r="R80" s="11">
        <v>17</v>
      </c>
      <c r="S80" s="11" t="str">
        <f>"006179"</f>
        <v>006179</v>
      </c>
      <c r="T80" s="10">
        <v>43377</v>
      </c>
      <c r="U80" s="14">
        <v>14.96895</v>
      </c>
      <c r="V80" s="14">
        <v>1.8460000000000001</v>
      </c>
      <c r="W80" s="14">
        <v>13.122949999999999</v>
      </c>
      <c r="X80" s="11">
        <v>229</v>
      </c>
      <c r="Y80" s="10">
        <v>43385</v>
      </c>
      <c r="Z80" s="11">
        <v>9448207804</v>
      </c>
      <c r="AA80" s="12" t="s">
        <v>52</v>
      </c>
      <c r="AB80" s="11" t="s">
        <v>207</v>
      </c>
      <c r="AC80" s="12" t="s">
        <v>208</v>
      </c>
      <c r="AD80" s="11" t="s">
        <v>55</v>
      </c>
      <c r="AE80" s="12" t="s">
        <v>56</v>
      </c>
      <c r="AF80" s="14">
        <f t="shared" si="0"/>
        <v>0.1496895</v>
      </c>
      <c r="AG80" s="11" t="s">
        <v>45</v>
      </c>
    </row>
    <row r="81" spans="1:33" x14ac:dyDescent="0.2">
      <c r="A81" s="8">
        <v>6002</v>
      </c>
      <c r="B81" s="9" t="s">
        <v>246</v>
      </c>
      <c r="C81" s="10">
        <v>43385</v>
      </c>
      <c r="D81" s="11">
        <v>43</v>
      </c>
      <c r="E81" s="12" t="s">
        <v>34</v>
      </c>
      <c r="F81" s="12" t="s">
        <v>35</v>
      </c>
      <c r="G81" s="12" t="s">
        <v>35</v>
      </c>
      <c r="H81" s="12" t="s">
        <v>36</v>
      </c>
      <c r="I81" s="11" t="s">
        <v>249</v>
      </c>
      <c r="J81" s="12" t="s">
        <v>250</v>
      </c>
      <c r="K81" s="13" t="s">
        <v>51</v>
      </c>
      <c r="L81" s="11" t="str">
        <f>"000115"</f>
        <v>000115</v>
      </c>
      <c r="M81" s="10">
        <v>42913</v>
      </c>
      <c r="N81" s="11" t="str">
        <f>"000032"</f>
        <v>000032</v>
      </c>
      <c r="O81" s="10">
        <v>42999</v>
      </c>
      <c r="P81" s="11" t="str">
        <f>"000052"</f>
        <v>000052</v>
      </c>
      <c r="Q81" s="10">
        <v>42999</v>
      </c>
      <c r="R81" s="11">
        <v>17</v>
      </c>
      <c r="S81" s="11" t="str">
        <f>"006176"</f>
        <v>006176</v>
      </c>
      <c r="T81" s="10">
        <v>43377</v>
      </c>
      <c r="U81" s="14">
        <v>19.88814</v>
      </c>
      <c r="V81" s="14">
        <v>2.6064699999999998</v>
      </c>
      <c r="W81" s="14">
        <v>17.281669999999998</v>
      </c>
      <c r="X81" s="11">
        <v>229</v>
      </c>
      <c r="Y81" s="10">
        <v>43385</v>
      </c>
      <c r="Z81" s="11">
        <v>9900333496</v>
      </c>
      <c r="AA81" s="12" t="s">
        <v>48</v>
      </c>
      <c r="AB81" s="11" t="s">
        <v>108</v>
      </c>
      <c r="AC81" s="12" t="s">
        <v>109</v>
      </c>
      <c r="AD81" s="11" t="s">
        <v>43</v>
      </c>
      <c r="AE81" s="12" t="s">
        <v>44</v>
      </c>
      <c r="AF81" s="14">
        <f t="shared" si="0"/>
        <v>0.19888139999999999</v>
      </c>
      <c r="AG81" s="11" t="s">
        <v>45</v>
      </c>
    </row>
    <row r="82" spans="1:33" x14ac:dyDescent="0.2">
      <c r="A82" s="8">
        <v>6003</v>
      </c>
      <c r="B82" s="9" t="s">
        <v>246</v>
      </c>
      <c r="C82" s="10">
        <v>43385</v>
      </c>
      <c r="D82" s="11">
        <v>43</v>
      </c>
      <c r="E82" s="12" t="s">
        <v>34</v>
      </c>
      <c r="F82" s="12" t="s">
        <v>35</v>
      </c>
      <c r="G82" s="12" t="s">
        <v>35</v>
      </c>
      <c r="H82" s="12" t="s">
        <v>36</v>
      </c>
      <c r="I82" s="11" t="s">
        <v>251</v>
      </c>
      <c r="J82" s="12" t="s">
        <v>252</v>
      </c>
      <c r="K82" s="13" t="s">
        <v>51</v>
      </c>
      <c r="L82" s="11" t="str">
        <f>"000114"</f>
        <v>000114</v>
      </c>
      <c r="M82" s="10">
        <v>42913</v>
      </c>
      <c r="N82" s="11" t="str">
        <f>"000031"</f>
        <v>000031</v>
      </c>
      <c r="O82" s="10">
        <v>42999</v>
      </c>
      <c r="P82" s="11" t="str">
        <f>"000053"</f>
        <v>000053</v>
      </c>
      <c r="Q82" s="10">
        <v>42999</v>
      </c>
      <c r="R82" s="11">
        <v>17</v>
      </c>
      <c r="S82" s="11" t="str">
        <f>"006177"</f>
        <v>006177</v>
      </c>
      <c r="T82" s="10">
        <v>43377</v>
      </c>
      <c r="U82" s="14">
        <v>19.7835</v>
      </c>
      <c r="V82" s="14">
        <v>2.5937999999999999</v>
      </c>
      <c r="W82" s="14">
        <v>17.189699999999998</v>
      </c>
      <c r="X82" s="11">
        <v>229</v>
      </c>
      <c r="Y82" s="10">
        <v>43385</v>
      </c>
      <c r="Z82" s="11">
        <v>9900333496</v>
      </c>
      <c r="AA82" s="12" t="s">
        <v>48</v>
      </c>
      <c r="AB82" s="11" t="s">
        <v>108</v>
      </c>
      <c r="AC82" s="12" t="s">
        <v>109</v>
      </c>
      <c r="AD82" s="11" t="s">
        <v>43</v>
      </c>
      <c r="AE82" s="12" t="s">
        <v>44</v>
      </c>
      <c r="AF82" s="14">
        <f t="shared" si="0"/>
        <v>0.19783500000000001</v>
      </c>
      <c r="AG82" s="11" t="s">
        <v>45</v>
      </c>
    </row>
    <row r="83" spans="1:33" x14ac:dyDescent="0.2">
      <c r="A83" s="8">
        <v>6004</v>
      </c>
      <c r="B83" s="9" t="s">
        <v>246</v>
      </c>
      <c r="C83" s="10">
        <v>43385</v>
      </c>
      <c r="D83" s="11">
        <v>43</v>
      </c>
      <c r="E83" s="12" t="s">
        <v>34</v>
      </c>
      <c r="F83" s="12" t="s">
        <v>35</v>
      </c>
      <c r="G83" s="12" t="s">
        <v>35</v>
      </c>
      <c r="H83" s="12" t="s">
        <v>36</v>
      </c>
      <c r="I83" s="11" t="s">
        <v>253</v>
      </c>
      <c r="J83" s="12" t="s">
        <v>254</v>
      </c>
      <c r="K83" s="13" t="s">
        <v>51</v>
      </c>
      <c r="L83" s="11" t="str">
        <f>"00.004"</f>
        <v>00.004</v>
      </c>
      <c r="M83" s="10">
        <v>42860</v>
      </c>
      <c r="N83" s="11" t="str">
        <f>"000035"</f>
        <v>000035</v>
      </c>
      <c r="O83" s="10">
        <v>43002</v>
      </c>
      <c r="P83" s="11" t="str">
        <f>"000015"</f>
        <v>000015</v>
      </c>
      <c r="Q83" s="10">
        <v>43003</v>
      </c>
      <c r="R83" s="11">
        <v>17</v>
      </c>
      <c r="S83" s="11" t="str">
        <f>"006179"</f>
        <v>006179</v>
      </c>
      <c r="T83" s="10">
        <v>43377</v>
      </c>
      <c r="U83" s="14">
        <v>14.96895</v>
      </c>
      <c r="V83" s="14">
        <v>1.8460000000000001</v>
      </c>
      <c r="W83" s="14">
        <v>13.122949999999999</v>
      </c>
      <c r="X83" s="11">
        <v>229</v>
      </c>
      <c r="Y83" s="10">
        <v>43385</v>
      </c>
      <c r="Z83" s="11">
        <v>9448207804</v>
      </c>
      <c r="AA83" s="12" t="s">
        <v>52</v>
      </c>
      <c r="AB83" s="11" t="s">
        <v>207</v>
      </c>
      <c r="AC83" s="12" t="s">
        <v>208</v>
      </c>
      <c r="AD83" s="11" t="s">
        <v>55</v>
      </c>
      <c r="AE83" s="12" t="s">
        <v>56</v>
      </c>
      <c r="AF83" s="14">
        <f t="shared" si="0"/>
        <v>0.1496895</v>
      </c>
      <c r="AG83" s="11" t="s">
        <v>45</v>
      </c>
    </row>
    <row r="84" spans="1:33" x14ac:dyDescent="0.2">
      <c r="A84" s="8">
        <v>6005</v>
      </c>
      <c r="B84" s="9" t="s">
        <v>246</v>
      </c>
      <c r="C84" s="10">
        <v>43385</v>
      </c>
      <c r="D84" s="11">
        <v>43</v>
      </c>
      <c r="E84" s="12" t="s">
        <v>34</v>
      </c>
      <c r="F84" s="12" t="s">
        <v>35</v>
      </c>
      <c r="G84" s="12" t="s">
        <v>35</v>
      </c>
      <c r="H84" s="12" t="s">
        <v>36</v>
      </c>
      <c r="I84" s="11" t="s">
        <v>255</v>
      </c>
      <c r="J84" s="12" t="s">
        <v>256</v>
      </c>
      <c r="K84" s="13" t="s">
        <v>78</v>
      </c>
      <c r="L84" s="11" t="str">
        <f>"000170"</f>
        <v>000170</v>
      </c>
      <c r="M84" s="10">
        <v>42592</v>
      </c>
      <c r="N84" s="11" t="str">
        <f>"000327"</f>
        <v>000327</v>
      </c>
      <c r="O84" s="10">
        <v>42630</v>
      </c>
      <c r="P84" s="11" t="str">
        <f>"000729"</f>
        <v>000729</v>
      </c>
      <c r="Q84" s="10">
        <v>42704</v>
      </c>
      <c r="R84" s="11">
        <v>16</v>
      </c>
      <c r="S84" s="11" t="str">
        <f>"006086"</f>
        <v>006086</v>
      </c>
      <c r="T84" s="10">
        <v>43374</v>
      </c>
      <c r="U84" s="14">
        <v>12.195349999999999</v>
      </c>
      <c r="V84" s="14">
        <v>1.6611400000000001</v>
      </c>
      <c r="W84" s="14">
        <v>10.53421</v>
      </c>
      <c r="X84" s="11">
        <v>231</v>
      </c>
      <c r="Y84" s="10">
        <v>43385</v>
      </c>
      <c r="Z84" s="11">
        <v>9900333496</v>
      </c>
      <c r="AA84" s="12" t="s">
        <v>48</v>
      </c>
      <c r="AB84" s="11" t="s">
        <v>198</v>
      </c>
      <c r="AC84" s="12" t="s">
        <v>199</v>
      </c>
      <c r="AD84" s="11" t="s">
        <v>43</v>
      </c>
      <c r="AE84" s="12" t="s">
        <v>44</v>
      </c>
      <c r="AF84" s="14">
        <f t="shared" si="0"/>
        <v>0.12195349999999999</v>
      </c>
      <c r="AG84" s="11" t="s">
        <v>45</v>
      </c>
    </row>
    <row r="85" spans="1:33" x14ac:dyDescent="0.2">
      <c r="A85" s="8">
        <v>6006</v>
      </c>
      <c r="B85" s="9" t="s">
        <v>246</v>
      </c>
      <c r="C85" s="10">
        <v>43385</v>
      </c>
      <c r="D85" s="11">
        <v>43</v>
      </c>
      <c r="E85" s="12" t="s">
        <v>34</v>
      </c>
      <c r="F85" s="12" t="s">
        <v>35</v>
      </c>
      <c r="G85" s="12" t="s">
        <v>35</v>
      </c>
      <c r="H85" s="12" t="s">
        <v>36</v>
      </c>
      <c r="I85" s="11" t="s">
        <v>257</v>
      </c>
      <c r="J85" s="12" t="s">
        <v>258</v>
      </c>
      <c r="K85" s="13" t="s">
        <v>78</v>
      </c>
      <c r="L85" s="11" t="str">
        <f>"000173"</f>
        <v>000173</v>
      </c>
      <c r="M85" s="10">
        <v>42592</v>
      </c>
      <c r="N85" s="11" t="str">
        <f>"000330"</f>
        <v>000330</v>
      </c>
      <c r="O85" s="10">
        <v>42628</v>
      </c>
      <c r="P85" s="11" t="str">
        <f>"000730"</f>
        <v>000730</v>
      </c>
      <c r="Q85" s="10">
        <v>42704</v>
      </c>
      <c r="R85" s="11">
        <v>16</v>
      </c>
      <c r="S85" s="11" t="str">
        <f>"006087"</f>
        <v>006087</v>
      </c>
      <c r="T85" s="10">
        <v>43374</v>
      </c>
      <c r="U85" s="14">
        <v>16.813279999999999</v>
      </c>
      <c r="V85" s="14">
        <v>2.2719100000000001</v>
      </c>
      <c r="W85" s="14">
        <v>14.541370000000001</v>
      </c>
      <c r="X85" s="11">
        <v>231</v>
      </c>
      <c r="Y85" s="10">
        <v>43385</v>
      </c>
      <c r="Z85" s="11">
        <v>9900333496</v>
      </c>
      <c r="AA85" s="12" t="s">
        <v>48</v>
      </c>
      <c r="AB85" s="11" t="s">
        <v>198</v>
      </c>
      <c r="AC85" s="12" t="s">
        <v>199</v>
      </c>
      <c r="AD85" s="11" t="s">
        <v>43</v>
      </c>
      <c r="AE85" s="12" t="s">
        <v>44</v>
      </c>
      <c r="AF85" s="14">
        <f t="shared" si="0"/>
        <v>0.1681328</v>
      </c>
      <c r="AG85" s="11" t="s">
        <v>45</v>
      </c>
    </row>
    <row r="86" spans="1:33" x14ac:dyDescent="0.2">
      <c r="A86" s="8">
        <v>6007</v>
      </c>
      <c r="B86" s="9" t="s">
        <v>246</v>
      </c>
      <c r="C86" s="10">
        <v>43385</v>
      </c>
      <c r="D86" s="11">
        <v>43</v>
      </c>
      <c r="E86" s="12" t="s">
        <v>34</v>
      </c>
      <c r="F86" s="12" t="s">
        <v>35</v>
      </c>
      <c r="G86" s="12" t="s">
        <v>35</v>
      </c>
      <c r="H86" s="12" t="s">
        <v>36</v>
      </c>
      <c r="I86" s="11" t="s">
        <v>98</v>
      </c>
      <c r="J86" s="12" t="s">
        <v>99</v>
      </c>
      <c r="K86" s="13" t="s">
        <v>78</v>
      </c>
      <c r="L86" s="11" t="str">
        <f>"000103"</f>
        <v>000103</v>
      </c>
      <c r="M86" s="10">
        <v>43070</v>
      </c>
      <c r="N86" s="11" t="str">
        <f>"000134"</f>
        <v>000134</v>
      </c>
      <c r="O86" s="10">
        <v>43140</v>
      </c>
      <c r="P86" s="11" t="str">
        <f>"000216"</f>
        <v>000216</v>
      </c>
      <c r="Q86" s="10">
        <v>43140</v>
      </c>
      <c r="R86" s="11">
        <v>17</v>
      </c>
      <c r="S86" s="11" t="str">
        <f>"010850"</f>
        <v>010850</v>
      </c>
      <c r="T86" s="10">
        <v>43184</v>
      </c>
      <c r="U86" s="14">
        <v>313.70103</v>
      </c>
      <c r="V86" s="14">
        <v>11.936249999999999</v>
      </c>
      <c r="W86" s="14">
        <v>301.76477999999997</v>
      </c>
      <c r="X86" s="11">
        <v>234</v>
      </c>
      <c r="Y86" s="10">
        <v>43385</v>
      </c>
      <c r="Z86" s="11">
        <v>8023464924</v>
      </c>
      <c r="AA86" s="12" t="s">
        <v>100</v>
      </c>
      <c r="AB86" s="11" t="s">
        <v>101</v>
      </c>
      <c r="AC86" s="12" t="s">
        <v>102</v>
      </c>
      <c r="AD86" s="11" t="s">
        <v>43</v>
      </c>
      <c r="AE86" s="12" t="s">
        <v>44</v>
      </c>
      <c r="AF86" s="14">
        <f t="shared" si="0"/>
        <v>3.1370103</v>
      </c>
      <c r="AG86" s="11" t="s">
        <v>45</v>
      </c>
    </row>
    <row r="87" spans="1:33" x14ac:dyDescent="0.2">
      <c r="A87" s="8">
        <v>6008</v>
      </c>
      <c r="B87" s="9" t="s">
        <v>246</v>
      </c>
      <c r="C87" s="10">
        <v>43385</v>
      </c>
      <c r="D87" s="11">
        <v>43</v>
      </c>
      <c r="E87" s="12" t="s">
        <v>34</v>
      </c>
      <c r="F87" s="12" t="s">
        <v>35</v>
      </c>
      <c r="G87" s="12" t="s">
        <v>35</v>
      </c>
      <c r="H87" s="12" t="s">
        <v>36</v>
      </c>
      <c r="I87" s="11" t="s">
        <v>98</v>
      </c>
      <c r="J87" s="12" t="s">
        <v>99</v>
      </c>
      <c r="K87" s="13" t="s">
        <v>78</v>
      </c>
      <c r="L87" s="11" t="str">
        <f>"000103"</f>
        <v>000103</v>
      </c>
      <c r="M87" s="10">
        <v>43070</v>
      </c>
      <c r="N87" s="11" t="str">
        <f>"000134"</f>
        <v>000134</v>
      </c>
      <c r="O87" s="10">
        <v>43140</v>
      </c>
      <c r="P87" s="11" t="str">
        <f>"000216"</f>
        <v>000216</v>
      </c>
      <c r="Q87" s="10">
        <v>43140</v>
      </c>
      <c r="R87" s="11">
        <v>17</v>
      </c>
      <c r="S87" s="11" t="str">
        <f>"010850"</f>
        <v>010850</v>
      </c>
      <c r="T87" s="10">
        <v>43184</v>
      </c>
      <c r="U87" s="14">
        <v>10.908160000000001</v>
      </c>
      <c r="V87" s="14">
        <v>0.44468000000000002</v>
      </c>
      <c r="W87" s="14">
        <v>10.463480000000001</v>
      </c>
      <c r="X87" s="11">
        <v>234</v>
      </c>
      <c r="Y87" s="10">
        <v>43385</v>
      </c>
      <c r="Z87" s="11">
        <v>8023464924</v>
      </c>
      <c r="AA87" s="12" t="s">
        <v>100</v>
      </c>
      <c r="AB87" s="11" t="s">
        <v>101</v>
      </c>
      <c r="AC87" s="12" t="s">
        <v>102</v>
      </c>
      <c r="AD87" s="11" t="s">
        <v>43</v>
      </c>
      <c r="AE87" s="12" t="s">
        <v>44</v>
      </c>
      <c r="AF87" s="14">
        <f t="shared" si="0"/>
        <v>0.1090816</v>
      </c>
      <c r="AG87" s="11" t="s">
        <v>45</v>
      </c>
    </row>
    <row r="88" spans="1:33" x14ac:dyDescent="0.2">
      <c r="A88" s="8">
        <v>6519</v>
      </c>
      <c r="B88" s="9" t="s">
        <v>246</v>
      </c>
      <c r="C88" s="10">
        <v>43389</v>
      </c>
      <c r="D88" s="11">
        <v>43</v>
      </c>
      <c r="E88" s="12" t="s">
        <v>34</v>
      </c>
      <c r="F88" s="12" t="s">
        <v>35</v>
      </c>
      <c r="G88" s="12" t="s">
        <v>35</v>
      </c>
      <c r="H88" s="12" t="s">
        <v>36</v>
      </c>
      <c r="I88" s="11" t="s">
        <v>259</v>
      </c>
      <c r="J88" s="12" t="s">
        <v>260</v>
      </c>
      <c r="K88" s="13" t="s">
        <v>39</v>
      </c>
      <c r="L88" s="11" t="str">
        <f>"000213"</f>
        <v>000213</v>
      </c>
      <c r="M88" s="10">
        <v>43150</v>
      </c>
      <c r="N88" s="11" t="str">
        <f>"000157"</f>
        <v>000157</v>
      </c>
      <c r="O88" s="10">
        <v>43365</v>
      </c>
      <c r="P88" s="11" t="str">
        <f>"000290"</f>
        <v>000290</v>
      </c>
      <c r="Q88" s="10">
        <v>43369</v>
      </c>
      <c r="R88" s="11">
        <v>18</v>
      </c>
      <c r="S88" s="11" t="str">
        <f>"006723"</f>
        <v>006723</v>
      </c>
      <c r="T88" s="10">
        <v>43388</v>
      </c>
      <c r="U88" s="14">
        <v>39.945300000000003</v>
      </c>
      <c r="V88" s="14">
        <v>4.3100699999999996</v>
      </c>
      <c r="W88" s="14">
        <v>35.63523</v>
      </c>
      <c r="X88" s="11">
        <v>238</v>
      </c>
      <c r="Y88" s="10">
        <v>43389</v>
      </c>
      <c r="Z88" s="11">
        <v>9900333496</v>
      </c>
      <c r="AA88" s="12" t="s">
        <v>48</v>
      </c>
      <c r="AB88" s="11" t="s">
        <v>41</v>
      </c>
      <c r="AC88" s="12" t="s">
        <v>42</v>
      </c>
      <c r="AD88" s="11" t="s">
        <v>43</v>
      </c>
      <c r="AE88" s="12" t="s">
        <v>44</v>
      </c>
      <c r="AF88" s="14">
        <f t="shared" si="0"/>
        <v>0.39945300000000006</v>
      </c>
      <c r="AG88" s="11" t="s">
        <v>90</v>
      </c>
    </row>
    <row r="89" spans="1:33" x14ac:dyDescent="0.2">
      <c r="A89" s="8">
        <v>6520</v>
      </c>
      <c r="B89" s="9" t="s">
        <v>246</v>
      </c>
      <c r="C89" s="10">
        <v>43389</v>
      </c>
      <c r="D89" s="11">
        <v>43</v>
      </c>
      <c r="E89" s="12" t="s">
        <v>34</v>
      </c>
      <c r="F89" s="12" t="s">
        <v>35</v>
      </c>
      <c r="G89" s="12" t="s">
        <v>35</v>
      </c>
      <c r="H89" s="12" t="s">
        <v>36</v>
      </c>
      <c r="I89" s="11" t="s">
        <v>261</v>
      </c>
      <c r="J89" s="12" t="s">
        <v>262</v>
      </c>
      <c r="K89" s="13" t="s">
        <v>51</v>
      </c>
      <c r="L89" s="11" t="str">
        <f>"000025"</f>
        <v>000025</v>
      </c>
      <c r="M89" s="10">
        <v>42955</v>
      </c>
      <c r="N89" s="11" t="str">
        <f>"000026"</f>
        <v>000026</v>
      </c>
      <c r="O89" s="10">
        <v>42979</v>
      </c>
      <c r="P89" s="11" t="str">
        <f>"000021"</f>
        <v>000021</v>
      </c>
      <c r="Q89" s="10">
        <v>42979</v>
      </c>
      <c r="R89" s="11">
        <v>17</v>
      </c>
      <c r="S89" s="11" t="str">
        <f>"006657"</f>
        <v>006657</v>
      </c>
      <c r="T89" s="10">
        <v>43385</v>
      </c>
      <c r="U89" s="14">
        <v>30.451519999999999</v>
      </c>
      <c r="V89" s="14">
        <v>4.4463999999999997</v>
      </c>
      <c r="W89" s="14">
        <v>26.005120000000002</v>
      </c>
      <c r="X89" s="11">
        <v>239</v>
      </c>
      <c r="Y89" s="10">
        <v>43389</v>
      </c>
      <c r="Z89" s="11">
        <v>9900333498</v>
      </c>
      <c r="AA89" s="12" t="s">
        <v>263</v>
      </c>
      <c r="AB89" s="11" t="s">
        <v>134</v>
      </c>
      <c r="AC89" s="12" t="s">
        <v>135</v>
      </c>
      <c r="AD89" s="11" t="s">
        <v>84</v>
      </c>
      <c r="AE89" s="12" t="s">
        <v>85</v>
      </c>
      <c r="AF89" s="14">
        <f t="shared" si="0"/>
        <v>0.30451519999999999</v>
      </c>
      <c r="AG89" s="11" t="s">
        <v>45</v>
      </c>
    </row>
    <row r="90" spans="1:33" x14ac:dyDescent="0.2">
      <c r="A90" s="8">
        <v>6521</v>
      </c>
      <c r="B90" s="9" t="s">
        <v>246</v>
      </c>
      <c r="C90" s="10">
        <v>43389</v>
      </c>
      <c r="D90" s="11">
        <v>43</v>
      </c>
      <c r="E90" s="12" t="s">
        <v>34</v>
      </c>
      <c r="F90" s="12" t="s">
        <v>35</v>
      </c>
      <c r="G90" s="12" t="s">
        <v>35</v>
      </c>
      <c r="H90" s="12" t="s">
        <v>36</v>
      </c>
      <c r="I90" s="11" t="s">
        <v>264</v>
      </c>
      <c r="J90" s="12" t="s">
        <v>265</v>
      </c>
      <c r="K90" s="13" t="s">
        <v>51</v>
      </c>
      <c r="L90" s="11" t="str">
        <f>"000040"</f>
        <v>000040</v>
      </c>
      <c r="M90" s="10">
        <v>42934</v>
      </c>
      <c r="N90" s="11" t="str">
        <f>"000045"</f>
        <v>000045</v>
      </c>
      <c r="O90" s="10">
        <v>43006</v>
      </c>
      <c r="P90" s="11" t="str">
        <f>"000071"</f>
        <v>000071</v>
      </c>
      <c r="Q90" s="10">
        <v>43012</v>
      </c>
      <c r="R90" s="11">
        <v>17</v>
      </c>
      <c r="S90" s="11" t="str">
        <f>"006659"</f>
        <v>006659</v>
      </c>
      <c r="T90" s="10">
        <v>43385</v>
      </c>
      <c r="U90" s="14">
        <v>19.788019999999999</v>
      </c>
      <c r="V90" s="14">
        <v>2.62995</v>
      </c>
      <c r="W90" s="14">
        <v>17.158069999999999</v>
      </c>
      <c r="X90" s="11">
        <v>239</v>
      </c>
      <c r="Y90" s="10">
        <v>43389</v>
      </c>
      <c r="Z90" s="11">
        <v>9900333496</v>
      </c>
      <c r="AA90" s="12" t="s">
        <v>48</v>
      </c>
      <c r="AB90" s="11" t="s">
        <v>211</v>
      </c>
      <c r="AC90" s="12" t="s">
        <v>212</v>
      </c>
      <c r="AD90" s="11" t="s">
        <v>43</v>
      </c>
      <c r="AE90" s="12" t="s">
        <v>44</v>
      </c>
      <c r="AF90" s="14">
        <f t="shared" si="0"/>
        <v>0.19788020000000001</v>
      </c>
      <c r="AG90" s="11" t="s">
        <v>45</v>
      </c>
    </row>
    <row r="91" spans="1:33" x14ac:dyDescent="0.2">
      <c r="A91" s="8">
        <v>6522</v>
      </c>
      <c r="B91" s="9" t="s">
        <v>246</v>
      </c>
      <c r="C91" s="10">
        <v>43389</v>
      </c>
      <c r="D91" s="11">
        <v>43</v>
      </c>
      <c r="E91" s="12" t="s">
        <v>34</v>
      </c>
      <c r="F91" s="12" t="s">
        <v>35</v>
      </c>
      <c r="G91" s="12" t="s">
        <v>35</v>
      </c>
      <c r="H91" s="12" t="s">
        <v>36</v>
      </c>
      <c r="I91" s="11" t="s">
        <v>266</v>
      </c>
      <c r="J91" s="12" t="s">
        <v>267</v>
      </c>
      <c r="K91" s="13" t="s">
        <v>51</v>
      </c>
      <c r="L91" s="11" t="str">
        <f>"000038"</f>
        <v>000038</v>
      </c>
      <c r="M91" s="10">
        <v>42934</v>
      </c>
      <c r="N91" s="11" t="str">
        <f>"000044"</f>
        <v>000044</v>
      </c>
      <c r="O91" s="10">
        <v>43006</v>
      </c>
      <c r="P91" s="11" t="str">
        <f>"000072"</f>
        <v>000072</v>
      </c>
      <c r="Q91" s="10">
        <v>43012</v>
      </c>
      <c r="R91" s="11">
        <v>17</v>
      </c>
      <c r="S91" s="11" t="str">
        <f>"006660"</f>
        <v>006660</v>
      </c>
      <c r="T91" s="10">
        <v>43385</v>
      </c>
      <c r="U91" s="14">
        <v>14.860659999999999</v>
      </c>
      <c r="V91" s="14">
        <v>1.96974</v>
      </c>
      <c r="W91" s="14">
        <v>12.890919999999999</v>
      </c>
      <c r="X91" s="11">
        <v>239</v>
      </c>
      <c r="Y91" s="10">
        <v>43389</v>
      </c>
      <c r="Z91" s="11">
        <v>9900333496</v>
      </c>
      <c r="AA91" s="12" t="s">
        <v>48</v>
      </c>
      <c r="AB91" s="11" t="s">
        <v>211</v>
      </c>
      <c r="AC91" s="12" t="s">
        <v>212</v>
      </c>
      <c r="AD91" s="11" t="s">
        <v>43</v>
      </c>
      <c r="AE91" s="12" t="s">
        <v>44</v>
      </c>
      <c r="AF91" s="14">
        <f t="shared" si="0"/>
        <v>0.14860660000000001</v>
      </c>
      <c r="AG91" s="11" t="s">
        <v>45</v>
      </c>
    </row>
    <row r="92" spans="1:33" x14ac:dyDescent="0.2">
      <c r="A92" s="8">
        <v>6523</v>
      </c>
      <c r="B92" s="9" t="s">
        <v>246</v>
      </c>
      <c r="C92" s="10">
        <v>43389</v>
      </c>
      <c r="D92" s="11">
        <v>43</v>
      </c>
      <c r="E92" s="12" t="s">
        <v>34</v>
      </c>
      <c r="F92" s="12" t="s">
        <v>35</v>
      </c>
      <c r="G92" s="12" t="s">
        <v>35</v>
      </c>
      <c r="H92" s="12" t="s">
        <v>36</v>
      </c>
      <c r="I92" s="11" t="s">
        <v>268</v>
      </c>
      <c r="J92" s="12" t="s">
        <v>269</v>
      </c>
      <c r="K92" s="13" t="s">
        <v>51</v>
      </c>
      <c r="L92" s="11" t="str">
        <f>"000038"</f>
        <v>000038</v>
      </c>
      <c r="M92" s="10">
        <v>42770</v>
      </c>
      <c r="N92" s="11" t="str">
        <f>"000040"</f>
        <v>000040</v>
      </c>
      <c r="O92" s="10">
        <v>43015</v>
      </c>
      <c r="P92" s="11" t="str">
        <f>"000053"</f>
        <v>000053</v>
      </c>
      <c r="Q92" s="10">
        <v>43015</v>
      </c>
      <c r="R92" s="11">
        <v>17</v>
      </c>
      <c r="S92" s="11" t="str">
        <f>"006661"</f>
        <v>006661</v>
      </c>
      <c r="T92" s="10">
        <v>43385</v>
      </c>
      <c r="U92" s="14">
        <v>19.837489999999999</v>
      </c>
      <c r="V92" s="14">
        <v>2.5043700000000002</v>
      </c>
      <c r="W92" s="14">
        <v>17.333120000000001</v>
      </c>
      <c r="X92" s="11">
        <v>239</v>
      </c>
      <c r="Y92" s="10">
        <v>43389</v>
      </c>
      <c r="Z92" s="11">
        <v>9845132243</v>
      </c>
      <c r="AA92" s="12" t="s">
        <v>52</v>
      </c>
      <c r="AB92" s="11" t="s">
        <v>134</v>
      </c>
      <c r="AC92" s="12" t="s">
        <v>135</v>
      </c>
      <c r="AD92" s="11" t="s">
        <v>55</v>
      </c>
      <c r="AE92" s="12" t="s">
        <v>56</v>
      </c>
      <c r="AF92" s="14">
        <f t="shared" si="0"/>
        <v>0.19837489999999999</v>
      </c>
      <c r="AG92" s="11" t="s">
        <v>45</v>
      </c>
    </row>
    <row r="93" spans="1:33" x14ac:dyDescent="0.2">
      <c r="A93" s="8">
        <v>6524</v>
      </c>
      <c r="B93" s="9" t="s">
        <v>246</v>
      </c>
      <c r="C93" s="10">
        <v>43389</v>
      </c>
      <c r="D93" s="11">
        <v>43</v>
      </c>
      <c r="E93" s="12" t="s">
        <v>34</v>
      </c>
      <c r="F93" s="12" t="s">
        <v>35</v>
      </c>
      <c r="G93" s="12" t="s">
        <v>35</v>
      </c>
      <c r="H93" s="12" t="s">
        <v>36</v>
      </c>
      <c r="I93" s="11" t="s">
        <v>270</v>
      </c>
      <c r="J93" s="12" t="s">
        <v>271</v>
      </c>
      <c r="K93" s="13" t="s">
        <v>51</v>
      </c>
      <c r="L93" s="11" t="str">
        <f>"000037"</f>
        <v>000037</v>
      </c>
      <c r="M93" s="10">
        <v>42770</v>
      </c>
      <c r="N93" s="11" t="str">
        <f>"000039"</f>
        <v>000039</v>
      </c>
      <c r="O93" s="10">
        <v>43015</v>
      </c>
      <c r="P93" s="11" t="str">
        <f>"000054"</f>
        <v>000054</v>
      </c>
      <c r="Q93" s="10">
        <v>43015</v>
      </c>
      <c r="R93" s="11">
        <v>17</v>
      </c>
      <c r="S93" s="11" t="str">
        <f>"006662"</f>
        <v>006662</v>
      </c>
      <c r="T93" s="10">
        <v>43385</v>
      </c>
      <c r="U93" s="14">
        <v>14.9497</v>
      </c>
      <c r="V93" s="14">
        <v>1.8419000000000001</v>
      </c>
      <c r="W93" s="14">
        <v>13.107799999999999</v>
      </c>
      <c r="X93" s="11">
        <v>239</v>
      </c>
      <c r="Y93" s="10">
        <v>43389</v>
      </c>
      <c r="Z93" s="11">
        <v>9845132243</v>
      </c>
      <c r="AA93" s="12" t="s">
        <v>52</v>
      </c>
      <c r="AB93" s="11" t="s">
        <v>134</v>
      </c>
      <c r="AC93" s="12" t="s">
        <v>135</v>
      </c>
      <c r="AD93" s="11" t="s">
        <v>55</v>
      </c>
      <c r="AE93" s="12" t="s">
        <v>56</v>
      </c>
      <c r="AF93" s="14">
        <f t="shared" si="0"/>
        <v>0.14949699999999999</v>
      </c>
      <c r="AG93" s="11" t="s">
        <v>45</v>
      </c>
    </row>
    <row r="94" spans="1:33" x14ac:dyDescent="0.2">
      <c r="A94" s="8">
        <v>6525</v>
      </c>
      <c r="B94" s="9" t="s">
        <v>246</v>
      </c>
      <c r="C94" s="10">
        <v>43389</v>
      </c>
      <c r="D94" s="11">
        <v>43</v>
      </c>
      <c r="E94" s="12" t="s">
        <v>34</v>
      </c>
      <c r="F94" s="12" t="s">
        <v>35</v>
      </c>
      <c r="G94" s="12" t="s">
        <v>35</v>
      </c>
      <c r="H94" s="12" t="s">
        <v>36</v>
      </c>
      <c r="I94" s="11" t="s">
        <v>272</v>
      </c>
      <c r="J94" s="12" t="s">
        <v>273</v>
      </c>
      <c r="K94" s="13" t="s">
        <v>51</v>
      </c>
      <c r="L94" s="11" t="str">
        <f>"000018"</f>
        <v>000018</v>
      </c>
      <c r="M94" s="10">
        <v>42888</v>
      </c>
      <c r="N94" s="11" t="str">
        <f>"000038"</f>
        <v>000038</v>
      </c>
      <c r="O94" s="10">
        <v>43015</v>
      </c>
      <c r="P94" s="11" t="str">
        <f>"000055"</f>
        <v>000055</v>
      </c>
      <c r="Q94" s="10">
        <v>43017</v>
      </c>
      <c r="R94" s="11">
        <v>17</v>
      </c>
      <c r="S94" s="11" t="str">
        <f>"006663"</f>
        <v>006663</v>
      </c>
      <c r="T94" s="10">
        <v>43385</v>
      </c>
      <c r="U94" s="14">
        <v>39.993749999999999</v>
      </c>
      <c r="V94" s="14">
        <v>5.101</v>
      </c>
      <c r="W94" s="14">
        <v>34.892749999999999</v>
      </c>
      <c r="X94" s="11">
        <v>239</v>
      </c>
      <c r="Y94" s="10">
        <v>43389</v>
      </c>
      <c r="Z94" s="11">
        <v>9845132243</v>
      </c>
      <c r="AA94" s="12" t="s">
        <v>52</v>
      </c>
      <c r="AB94" s="11" t="s">
        <v>134</v>
      </c>
      <c r="AC94" s="12" t="s">
        <v>135</v>
      </c>
      <c r="AD94" s="11" t="s">
        <v>55</v>
      </c>
      <c r="AE94" s="12" t="s">
        <v>56</v>
      </c>
      <c r="AF94" s="14">
        <f t="shared" si="0"/>
        <v>0.3999375</v>
      </c>
      <c r="AG94" s="11" t="s">
        <v>45</v>
      </c>
    </row>
    <row r="95" spans="1:33" x14ac:dyDescent="0.2">
      <c r="A95" s="8">
        <v>6980</v>
      </c>
      <c r="B95" s="9" t="s">
        <v>246</v>
      </c>
      <c r="C95" s="10">
        <v>43403</v>
      </c>
      <c r="D95" s="11">
        <v>43</v>
      </c>
      <c r="E95" s="12" t="s">
        <v>34</v>
      </c>
      <c r="F95" s="12" t="s">
        <v>35</v>
      </c>
      <c r="G95" s="12" t="s">
        <v>35</v>
      </c>
      <c r="H95" s="12" t="s">
        <v>36</v>
      </c>
      <c r="I95" s="11" t="s">
        <v>274</v>
      </c>
      <c r="J95" s="12" t="s">
        <v>275</v>
      </c>
      <c r="K95" s="13" t="s">
        <v>78</v>
      </c>
      <c r="L95" s="11" t="str">
        <f>"000175"</f>
        <v>000175</v>
      </c>
      <c r="M95" s="10">
        <v>42592</v>
      </c>
      <c r="N95" s="11" t="str">
        <f>"000726"</f>
        <v>000726</v>
      </c>
      <c r="O95" s="10">
        <v>42632</v>
      </c>
      <c r="P95" s="11" t="str">
        <f>"000726"</f>
        <v>000726</v>
      </c>
      <c r="Q95" s="10">
        <v>42704</v>
      </c>
      <c r="R95" s="11">
        <v>16</v>
      </c>
      <c r="S95" s="11" t="str">
        <f>"006924"</f>
        <v>006924</v>
      </c>
      <c r="T95" s="10">
        <v>43398</v>
      </c>
      <c r="U95" s="14">
        <v>39.635480000000001</v>
      </c>
      <c r="V95" s="14">
        <v>5.7071100000000001</v>
      </c>
      <c r="W95" s="14">
        <v>33.928370000000001</v>
      </c>
      <c r="X95" s="11">
        <v>254</v>
      </c>
      <c r="Y95" s="10">
        <v>43403</v>
      </c>
      <c r="Z95" s="11">
        <v>9900333496</v>
      </c>
      <c r="AA95" s="12" t="s">
        <v>48</v>
      </c>
      <c r="AB95" s="11" t="s">
        <v>198</v>
      </c>
      <c r="AC95" s="12" t="s">
        <v>199</v>
      </c>
      <c r="AD95" s="11" t="s">
        <v>43</v>
      </c>
      <c r="AE95" s="12" t="s">
        <v>44</v>
      </c>
      <c r="AF95" s="14">
        <f t="shared" si="0"/>
        <v>0.39635480000000001</v>
      </c>
      <c r="AG95" s="11" t="s">
        <v>45</v>
      </c>
    </row>
    <row r="96" spans="1:33" x14ac:dyDescent="0.2">
      <c r="A96" s="8">
        <v>6981</v>
      </c>
      <c r="B96" s="9" t="s">
        <v>246</v>
      </c>
      <c r="C96" s="10">
        <v>43403</v>
      </c>
      <c r="D96" s="11">
        <v>43</v>
      </c>
      <c r="E96" s="12" t="s">
        <v>34</v>
      </c>
      <c r="F96" s="12" t="s">
        <v>35</v>
      </c>
      <c r="G96" s="12" t="s">
        <v>35</v>
      </c>
      <c r="H96" s="12" t="s">
        <v>36</v>
      </c>
      <c r="I96" s="11" t="s">
        <v>276</v>
      </c>
      <c r="J96" s="12" t="s">
        <v>277</v>
      </c>
      <c r="K96" s="15" t="s">
        <v>278</v>
      </c>
      <c r="L96" s="11" t="str">
        <f>"000507"</f>
        <v>000507</v>
      </c>
      <c r="M96" s="10">
        <v>42094</v>
      </c>
      <c r="N96" s="11" t="str">
        <f>"000062"</f>
        <v>000062</v>
      </c>
      <c r="O96" s="10">
        <v>42852</v>
      </c>
      <c r="P96" s="11" t="str">
        <f>"000140"</f>
        <v>000140</v>
      </c>
      <c r="Q96" s="10">
        <v>42874</v>
      </c>
      <c r="R96" s="11">
        <v>15</v>
      </c>
      <c r="S96" s="11" t="str">
        <f>"006761"</f>
        <v>006761</v>
      </c>
      <c r="T96" s="10">
        <v>43389</v>
      </c>
      <c r="U96" s="14">
        <v>14.861980000000001</v>
      </c>
      <c r="V96" s="14">
        <v>2.43092</v>
      </c>
      <c r="W96" s="14">
        <v>12.43106</v>
      </c>
      <c r="X96" s="11">
        <v>255</v>
      </c>
      <c r="Y96" s="10">
        <v>43403</v>
      </c>
      <c r="Z96" s="11">
        <v>9900333496</v>
      </c>
      <c r="AA96" s="12" t="s">
        <v>112</v>
      </c>
      <c r="AB96" s="11" t="s">
        <v>108</v>
      </c>
      <c r="AC96" s="12" t="s">
        <v>109</v>
      </c>
      <c r="AD96" s="11" t="s">
        <v>43</v>
      </c>
      <c r="AE96" s="12" t="s">
        <v>44</v>
      </c>
      <c r="AF96" s="14">
        <f t="shared" si="0"/>
        <v>0.1486198</v>
      </c>
      <c r="AG96" s="11" t="s">
        <v>45</v>
      </c>
    </row>
    <row r="97" spans="1:33" x14ac:dyDescent="0.2">
      <c r="A97" s="8">
        <v>7055</v>
      </c>
      <c r="B97" s="9" t="s">
        <v>246</v>
      </c>
      <c r="C97" s="10">
        <v>43404</v>
      </c>
      <c r="D97" s="11">
        <v>43</v>
      </c>
      <c r="E97" s="12" t="s">
        <v>34</v>
      </c>
      <c r="F97" s="12" t="s">
        <v>35</v>
      </c>
      <c r="G97" s="12" t="s">
        <v>35</v>
      </c>
      <c r="H97" s="12" t="s">
        <v>36</v>
      </c>
      <c r="I97" s="11" t="s">
        <v>279</v>
      </c>
      <c r="J97" s="12" t="s">
        <v>280</v>
      </c>
      <c r="K97" s="13" t="s">
        <v>169</v>
      </c>
      <c r="L97" s="11" t="str">
        <f>"000045"</f>
        <v>000045</v>
      </c>
      <c r="M97" s="10">
        <v>43263</v>
      </c>
      <c r="N97" s="11" t="str">
        <f>"000056"</f>
        <v>000056</v>
      </c>
      <c r="O97" s="10">
        <v>43273</v>
      </c>
      <c r="P97" s="11" t="str">
        <f>"000115"</f>
        <v>000115</v>
      </c>
      <c r="Q97" s="10">
        <v>43274</v>
      </c>
      <c r="R97" s="11">
        <v>18</v>
      </c>
      <c r="S97" s="11" t="str">
        <f>"007008"</f>
        <v>007008</v>
      </c>
      <c r="T97" s="10">
        <v>43400</v>
      </c>
      <c r="U97" s="14">
        <v>24.995979999999999</v>
      </c>
      <c r="V97" s="14">
        <v>2.44618</v>
      </c>
      <c r="W97" s="14">
        <v>22.549800000000001</v>
      </c>
      <c r="X97" s="11">
        <v>260</v>
      </c>
      <c r="Y97" s="10">
        <v>43404</v>
      </c>
      <c r="Z97" s="11">
        <v>9900333496</v>
      </c>
      <c r="AA97" s="12" t="s">
        <v>48</v>
      </c>
      <c r="AB97" s="11" t="s">
        <v>281</v>
      </c>
      <c r="AC97" s="12" t="s">
        <v>282</v>
      </c>
      <c r="AD97" s="11" t="s">
        <v>43</v>
      </c>
      <c r="AE97" s="12" t="s">
        <v>44</v>
      </c>
      <c r="AF97" s="14">
        <f t="shared" si="0"/>
        <v>0.24995979999999998</v>
      </c>
      <c r="AG97" s="11" t="s">
        <v>86</v>
      </c>
    </row>
    <row r="98" spans="1:33" x14ac:dyDescent="0.2">
      <c r="A98" s="8">
        <v>7056</v>
      </c>
      <c r="B98" s="9" t="s">
        <v>246</v>
      </c>
      <c r="C98" s="10">
        <v>43404</v>
      </c>
      <c r="D98" s="11">
        <v>43</v>
      </c>
      <c r="E98" s="12" t="s">
        <v>34</v>
      </c>
      <c r="F98" s="12" t="s">
        <v>35</v>
      </c>
      <c r="G98" s="12" t="s">
        <v>35</v>
      </c>
      <c r="H98" s="12" t="s">
        <v>36</v>
      </c>
      <c r="I98" s="11" t="s">
        <v>283</v>
      </c>
      <c r="J98" s="12" t="s">
        <v>284</v>
      </c>
      <c r="K98" s="13" t="s">
        <v>285</v>
      </c>
      <c r="L98" s="11" t="str">
        <f>"000044"</f>
        <v>000044</v>
      </c>
      <c r="M98" s="10">
        <v>43262</v>
      </c>
      <c r="N98" s="11" t="str">
        <f>"000075"</f>
        <v>000075</v>
      </c>
      <c r="O98" s="10">
        <v>43290</v>
      </c>
      <c r="P98" s="11" t="str">
        <f>"000161"</f>
        <v>000161</v>
      </c>
      <c r="Q98" s="10">
        <v>43292</v>
      </c>
      <c r="R98" s="11">
        <v>18</v>
      </c>
      <c r="S98" s="11" t="str">
        <f>"007064"</f>
        <v>007064</v>
      </c>
      <c r="T98" s="10">
        <v>43400</v>
      </c>
      <c r="U98" s="14">
        <v>6.4979899999999997</v>
      </c>
      <c r="V98" s="14">
        <v>0.60616999999999999</v>
      </c>
      <c r="W98" s="14">
        <v>5.8918200000000001</v>
      </c>
      <c r="X98" s="11">
        <v>260</v>
      </c>
      <c r="Y98" s="10">
        <v>43404</v>
      </c>
      <c r="Z98" s="11">
        <v>9900333496</v>
      </c>
      <c r="AA98" s="12" t="s">
        <v>48</v>
      </c>
      <c r="AB98" s="11" t="s">
        <v>281</v>
      </c>
      <c r="AC98" s="12" t="s">
        <v>282</v>
      </c>
      <c r="AD98" s="11" t="s">
        <v>43</v>
      </c>
      <c r="AE98" s="12" t="s">
        <v>44</v>
      </c>
      <c r="AF98" s="14">
        <f t="shared" si="0"/>
        <v>6.4979899999999993E-2</v>
      </c>
      <c r="AG98" s="11" t="s">
        <v>86</v>
      </c>
    </row>
    <row r="99" spans="1:33" x14ac:dyDescent="0.2">
      <c r="A99" s="8">
        <v>7147</v>
      </c>
      <c r="B99" s="9" t="s">
        <v>286</v>
      </c>
      <c r="C99" s="10">
        <v>43418</v>
      </c>
      <c r="D99" s="11">
        <v>43</v>
      </c>
      <c r="E99" s="12" t="s">
        <v>34</v>
      </c>
      <c r="F99" s="12" t="s">
        <v>35</v>
      </c>
      <c r="G99" s="12" t="s">
        <v>35</v>
      </c>
      <c r="H99" s="12" t="s">
        <v>36</v>
      </c>
      <c r="I99" s="11" t="s">
        <v>287</v>
      </c>
      <c r="J99" s="12" t="s">
        <v>288</v>
      </c>
      <c r="K99" s="13" t="s">
        <v>169</v>
      </c>
      <c r="L99" s="11" t="str">
        <f>"000108"</f>
        <v>000108</v>
      </c>
      <c r="M99" s="10">
        <v>43080</v>
      </c>
      <c r="N99" s="11" t="str">
        <f>"000125"</f>
        <v>000125</v>
      </c>
      <c r="O99" s="10">
        <v>43120</v>
      </c>
      <c r="P99" s="11" t="str">
        <f>"000206"</f>
        <v>000206</v>
      </c>
      <c r="Q99" s="10">
        <v>43122</v>
      </c>
      <c r="R99" s="11">
        <v>17</v>
      </c>
      <c r="S99" s="11" t="str">
        <f>"007144"</f>
        <v>007144</v>
      </c>
      <c r="T99" s="10">
        <v>43403</v>
      </c>
      <c r="U99" s="14">
        <v>39.20017</v>
      </c>
      <c r="V99" s="14">
        <v>4.5934100000000004</v>
      </c>
      <c r="W99" s="14">
        <v>34.606760000000001</v>
      </c>
      <c r="X99" s="11">
        <v>261</v>
      </c>
      <c r="Y99" s="10">
        <v>43418</v>
      </c>
      <c r="Z99" s="11">
        <v>9900333496</v>
      </c>
      <c r="AA99" s="12" t="s">
        <v>48</v>
      </c>
      <c r="AB99" s="11" t="s">
        <v>108</v>
      </c>
      <c r="AC99" s="12" t="s">
        <v>109</v>
      </c>
      <c r="AD99" s="11" t="s">
        <v>43</v>
      </c>
      <c r="AE99" s="12" t="s">
        <v>44</v>
      </c>
      <c r="AF99" s="14">
        <f t="shared" si="0"/>
        <v>0.39200170000000001</v>
      </c>
      <c r="AG99" s="11" t="s">
        <v>45</v>
      </c>
    </row>
    <row r="100" spans="1:33" x14ac:dyDescent="0.2">
      <c r="A100" s="8">
        <v>7427</v>
      </c>
      <c r="B100" s="9" t="s">
        <v>286</v>
      </c>
      <c r="C100" s="10">
        <v>43432</v>
      </c>
      <c r="D100" s="11">
        <v>43</v>
      </c>
      <c r="E100" s="12" t="s">
        <v>34</v>
      </c>
      <c r="F100" s="12" t="s">
        <v>35</v>
      </c>
      <c r="G100" s="12" t="s">
        <v>35</v>
      </c>
      <c r="H100" s="12" t="s">
        <v>36</v>
      </c>
      <c r="I100" s="11" t="s">
        <v>289</v>
      </c>
      <c r="J100" s="12" t="s">
        <v>290</v>
      </c>
      <c r="K100" s="13" t="s">
        <v>51</v>
      </c>
      <c r="L100" s="11" t="str">
        <f>"000119"</f>
        <v>000119</v>
      </c>
      <c r="M100" s="10">
        <v>43371</v>
      </c>
      <c r="N100" s="11" t="str">
        <f>"000191"</f>
        <v>000191</v>
      </c>
      <c r="O100" s="10">
        <v>43389</v>
      </c>
      <c r="P100" s="11" t="str">
        <f>"000339"</f>
        <v>000339</v>
      </c>
      <c r="Q100" s="10">
        <v>43399</v>
      </c>
      <c r="R100" s="11">
        <v>18</v>
      </c>
      <c r="S100" s="11" t="str">
        <f>"007597"</f>
        <v>007597</v>
      </c>
      <c r="T100" s="10">
        <v>43431</v>
      </c>
      <c r="U100" s="14">
        <v>10</v>
      </c>
      <c r="V100" s="14">
        <v>1.0885800000000001</v>
      </c>
      <c r="W100" s="14">
        <v>8.9114199999999997</v>
      </c>
      <c r="X100" s="11">
        <v>277</v>
      </c>
      <c r="Y100" s="10">
        <v>43432</v>
      </c>
      <c r="Z100" s="11">
        <v>9900333496</v>
      </c>
      <c r="AA100" s="12" t="s">
        <v>48</v>
      </c>
      <c r="AB100" s="11" t="s">
        <v>41</v>
      </c>
      <c r="AC100" s="12" t="s">
        <v>42</v>
      </c>
      <c r="AD100" s="11" t="s">
        <v>43</v>
      </c>
      <c r="AE100" s="12" t="s">
        <v>44</v>
      </c>
      <c r="AF100" s="14">
        <f t="shared" si="0"/>
        <v>0.1</v>
      </c>
      <c r="AG100" s="11" t="s">
        <v>86</v>
      </c>
    </row>
    <row r="101" spans="1:33" x14ac:dyDescent="0.2">
      <c r="A101" s="8">
        <v>7428</v>
      </c>
      <c r="B101" s="9" t="s">
        <v>286</v>
      </c>
      <c r="C101" s="10">
        <v>43432</v>
      </c>
      <c r="D101" s="11">
        <v>43</v>
      </c>
      <c r="E101" s="12" t="s">
        <v>34</v>
      </c>
      <c r="F101" s="12" t="s">
        <v>35</v>
      </c>
      <c r="G101" s="12" t="s">
        <v>35</v>
      </c>
      <c r="H101" s="12" t="s">
        <v>36</v>
      </c>
      <c r="I101" s="11" t="s">
        <v>291</v>
      </c>
      <c r="J101" s="12" t="s">
        <v>292</v>
      </c>
      <c r="K101" s="13" t="s">
        <v>293</v>
      </c>
      <c r="L101" s="11" t="str">
        <f>"000117"</f>
        <v>000117</v>
      </c>
      <c r="M101" s="10">
        <v>42913</v>
      </c>
      <c r="N101" s="11" t="str">
        <f>"000033"</f>
        <v>000033</v>
      </c>
      <c r="O101" s="10">
        <v>42999</v>
      </c>
      <c r="P101" s="11" t="str">
        <f>"000054"</f>
        <v>000054</v>
      </c>
      <c r="Q101" s="10">
        <v>42999</v>
      </c>
      <c r="R101" s="11">
        <v>17</v>
      </c>
      <c r="S101" s="11" t="str">
        <f>"007482"</f>
        <v>007482</v>
      </c>
      <c r="T101" s="10">
        <v>43424</v>
      </c>
      <c r="U101" s="14">
        <v>29.69089</v>
      </c>
      <c r="V101" s="14">
        <v>4.0608700000000004</v>
      </c>
      <c r="W101" s="14">
        <v>25.630019999999998</v>
      </c>
      <c r="X101" s="11">
        <v>278</v>
      </c>
      <c r="Y101" s="10">
        <v>43432</v>
      </c>
      <c r="Z101" s="11">
        <v>9900333496</v>
      </c>
      <c r="AA101" s="12" t="s">
        <v>48</v>
      </c>
      <c r="AB101" s="11" t="s">
        <v>108</v>
      </c>
      <c r="AC101" s="12" t="s">
        <v>109</v>
      </c>
      <c r="AD101" s="11" t="s">
        <v>43</v>
      </c>
      <c r="AE101" s="12" t="s">
        <v>44</v>
      </c>
      <c r="AF101" s="14">
        <f t="shared" si="0"/>
        <v>0.29690889999999998</v>
      </c>
      <c r="AG101" s="11" t="s">
        <v>45</v>
      </c>
    </row>
    <row r="102" spans="1:33" x14ac:dyDescent="0.2">
      <c r="A102" s="8">
        <v>7494</v>
      </c>
      <c r="B102" s="9" t="s">
        <v>294</v>
      </c>
      <c r="C102" s="10">
        <v>43437</v>
      </c>
      <c r="D102" s="11">
        <v>43</v>
      </c>
      <c r="E102" s="12" t="s">
        <v>34</v>
      </c>
      <c r="F102" s="12" t="s">
        <v>35</v>
      </c>
      <c r="G102" s="12" t="s">
        <v>35</v>
      </c>
      <c r="H102" s="12" t="s">
        <v>36</v>
      </c>
      <c r="I102" s="11" t="s">
        <v>295</v>
      </c>
      <c r="J102" s="12" t="s">
        <v>296</v>
      </c>
      <c r="K102" s="13" t="s">
        <v>39</v>
      </c>
      <c r="L102" s="11" t="str">
        <f>"000461"</f>
        <v>000461</v>
      </c>
      <c r="M102" s="10">
        <v>42802</v>
      </c>
      <c r="N102" s="11" t="str">
        <f>"000033"</f>
        <v>000033</v>
      </c>
      <c r="O102" s="10">
        <v>42852</v>
      </c>
      <c r="P102" s="11" t="str">
        <f>"000070"</f>
        <v>000070</v>
      </c>
      <c r="Q102" s="10">
        <v>42853</v>
      </c>
      <c r="R102" s="11">
        <v>17</v>
      </c>
      <c r="S102" s="11" t="str">
        <f>"007451"</f>
        <v>007451</v>
      </c>
      <c r="T102" s="10">
        <v>43421</v>
      </c>
      <c r="U102" s="14">
        <v>12.24235</v>
      </c>
      <c r="V102" s="14">
        <v>0.88821000000000006</v>
      </c>
      <c r="W102" s="14">
        <v>11.354139999999999</v>
      </c>
      <c r="X102" s="11">
        <v>279</v>
      </c>
      <c r="Y102" s="10">
        <v>43437</v>
      </c>
      <c r="Z102" s="11">
        <v>9341217102</v>
      </c>
      <c r="AA102" s="12" t="s">
        <v>297</v>
      </c>
      <c r="AB102" s="11" t="s">
        <v>182</v>
      </c>
      <c r="AC102" s="12" t="s">
        <v>183</v>
      </c>
      <c r="AD102" s="11" t="s">
        <v>43</v>
      </c>
      <c r="AE102" s="12" t="s">
        <v>44</v>
      </c>
      <c r="AF102" s="14">
        <f t="shared" si="0"/>
        <v>0.1224235</v>
      </c>
      <c r="AG102" s="11" t="s">
        <v>45</v>
      </c>
    </row>
    <row r="103" spans="1:33" x14ac:dyDescent="0.2">
      <c r="A103" s="8">
        <v>7709</v>
      </c>
      <c r="B103" s="9" t="s">
        <v>294</v>
      </c>
      <c r="C103" s="10">
        <v>43448</v>
      </c>
      <c r="D103" s="11">
        <v>43</v>
      </c>
      <c r="E103" s="12" t="s">
        <v>34</v>
      </c>
      <c r="F103" s="12" t="s">
        <v>35</v>
      </c>
      <c r="G103" s="12" t="s">
        <v>35</v>
      </c>
      <c r="H103" s="12" t="s">
        <v>36</v>
      </c>
      <c r="I103" s="11" t="s">
        <v>234</v>
      </c>
      <c r="J103" s="12" t="s">
        <v>235</v>
      </c>
      <c r="K103" s="13" t="s">
        <v>51</v>
      </c>
      <c r="L103" s="11" t="str">
        <f>"000495"</f>
        <v>000495</v>
      </c>
      <c r="M103" s="10">
        <v>43187</v>
      </c>
      <c r="N103" s="11" t="str">
        <f>"000215"</f>
        <v>000215</v>
      </c>
      <c r="O103" s="10">
        <v>43413</v>
      </c>
      <c r="P103" s="11" t="str">
        <f>"000359"</f>
        <v>000359</v>
      </c>
      <c r="Q103" s="10">
        <v>43413</v>
      </c>
      <c r="R103" s="11">
        <v>17</v>
      </c>
      <c r="S103" s="11" t="str">
        <f>"007964"</f>
        <v>007964</v>
      </c>
      <c r="T103" s="10">
        <v>43447</v>
      </c>
      <c r="U103" s="14">
        <v>101.96558</v>
      </c>
      <c r="V103" s="14">
        <v>4.7595499999999999</v>
      </c>
      <c r="W103" s="14">
        <v>97.206029999999998</v>
      </c>
      <c r="X103" s="11">
        <v>290</v>
      </c>
      <c r="Y103" s="10">
        <v>43448</v>
      </c>
      <c r="Z103" s="11">
        <v>0</v>
      </c>
      <c r="AA103" s="12" t="s">
        <v>236</v>
      </c>
      <c r="AB103" s="11" t="s">
        <v>82</v>
      </c>
      <c r="AC103" s="12" t="s">
        <v>83</v>
      </c>
      <c r="AD103" s="11" t="s">
        <v>43</v>
      </c>
      <c r="AE103" s="12" t="s">
        <v>44</v>
      </c>
      <c r="AF103" s="14">
        <f t="shared" si="0"/>
        <v>1.0196558</v>
      </c>
      <c r="AG103" s="11" t="s">
        <v>90</v>
      </c>
    </row>
    <row r="104" spans="1:33" x14ac:dyDescent="0.2">
      <c r="A104" s="8">
        <v>7710</v>
      </c>
      <c r="B104" s="9" t="s">
        <v>294</v>
      </c>
      <c r="C104" s="10">
        <v>43448</v>
      </c>
      <c r="D104" s="11">
        <v>43</v>
      </c>
      <c r="E104" s="12" t="s">
        <v>34</v>
      </c>
      <c r="F104" s="12" t="s">
        <v>35</v>
      </c>
      <c r="G104" s="12" t="s">
        <v>35</v>
      </c>
      <c r="H104" s="12" t="s">
        <v>36</v>
      </c>
      <c r="I104" s="11" t="s">
        <v>298</v>
      </c>
      <c r="J104" s="12" t="s">
        <v>299</v>
      </c>
      <c r="K104" s="13" t="s">
        <v>300</v>
      </c>
      <c r="L104" s="11" t="str">
        <f>"000400"</f>
        <v>000400</v>
      </c>
      <c r="M104" s="10">
        <v>43185</v>
      </c>
      <c r="N104" s="11" t="str">
        <f>"000189"</f>
        <v>000189</v>
      </c>
      <c r="O104" s="10">
        <v>43388</v>
      </c>
      <c r="P104" s="11" t="str">
        <f>"000324"</f>
        <v>000324</v>
      </c>
      <c r="Q104" s="10">
        <v>43388</v>
      </c>
      <c r="R104" s="11">
        <v>17</v>
      </c>
      <c r="S104" s="11" t="str">
        <f>"007971"</f>
        <v>007971</v>
      </c>
      <c r="T104" s="10">
        <v>43447</v>
      </c>
      <c r="U104" s="14">
        <v>12.045629999999999</v>
      </c>
      <c r="V104" s="14">
        <v>0.50436000000000003</v>
      </c>
      <c r="W104" s="14">
        <v>11.541270000000001</v>
      </c>
      <c r="X104" s="11">
        <v>290</v>
      </c>
      <c r="Y104" s="10">
        <v>43448</v>
      </c>
      <c r="Z104" s="11">
        <v>0</v>
      </c>
      <c r="AA104" s="12" t="s">
        <v>301</v>
      </c>
      <c r="AB104" s="11" t="s">
        <v>82</v>
      </c>
      <c r="AC104" s="12" t="s">
        <v>83</v>
      </c>
      <c r="AD104" s="11" t="s">
        <v>43</v>
      </c>
      <c r="AE104" s="12" t="s">
        <v>44</v>
      </c>
      <c r="AF104" s="14">
        <f t="shared" si="0"/>
        <v>0.12045629999999999</v>
      </c>
      <c r="AG104" s="11" t="s">
        <v>90</v>
      </c>
    </row>
    <row r="105" spans="1:33" x14ac:dyDescent="0.2">
      <c r="A105" s="8">
        <v>7711</v>
      </c>
      <c r="B105" s="9" t="s">
        <v>294</v>
      </c>
      <c r="C105" s="10">
        <v>43448</v>
      </c>
      <c r="D105" s="11">
        <v>43</v>
      </c>
      <c r="E105" s="12" t="s">
        <v>34</v>
      </c>
      <c r="F105" s="12" t="s">
        <v>35</v>
      </c>
      <c r="G105" s="12" t="s">
        <v>35</v>
      </c>
      <c r="H105" s="12" t="s">
        <v>36</v>
      </c>
      <c r="I105" s="11" t="s">
        <v>302</v>
      </c>
      <c r="J105" s="12" t="s">
        <v>303</v>
      </c>
      <c r="K105" s="13" t="s">
        <v>51</v>
      </c>
      <c r="L105" s="11" t="str">
        <f>"000084"</f>
        <v>000084</v>
      </c>
      <c r="M105" s="10">
        <v>42913</v>
      </c>
      <c r="N105" s="11" t="str">
        <f>"000050"</f>
        <v>000050</v>
      </c>
      <c r="O105" s="10">
        <v>43018</v>
      </c>
      <c r="P105" s="11" t="str">
        <f>"000076"</f>
        <v>000076</v>
      </c>
      <c r="Q105" s="10">
        <v>43018</v>
      </c>
      <c r="R105" s="11">
        <v>17</v>
      </c>
      <c r="S105" s="11" t="str">
        <f>"007869"</f>
        <v>007869</v>
      </c>
      <c r="T105" s="10">
        <v>43445</v>
      </c>
      <c r="U105" s="14">
        <v>39.57555</v>
      </c>
      <c r="V105" s="14">
        <v>5.5633100000000004</v>
      </c>
      <c r="W105" s="14">
        <v>34.012239999999998</v>
      </c>
      <c r="X105" s="11">
        <v>292</v>
      </c>
      <c r="Y105" s="10">
        <v>43448</v>
      </c>
      <c r="Z105" s="11">
        <v>9900333496</v>
      </c>
      <c r="AA105" s="12" t="s">
        <v>48</v>
      </c>
      <c r="AB105" s="11" t="s">
        <v>170</v>
      </c>
      <c r="AC105" s="12" t="s">
        <v>171</v>
      </c>
      <c r="AD105" s="11" t="s">
        <v>43</v>
      </c>
      <c r="AE105" s="12" t="s">
        <v>44</v>
      </c>
      <c r="AF105" s="14">
        <f t="shared" si="0"/>
        <v>0.39575549999999998</v>
      </c>
      <c r="AG105" s="11" t="s">
        <v>45</v>
      </c>
    </row>
    <row r="106" spans="1:33" x14ac:dyDescent="0.2">
      <c r="A106" s="8">
        <v>7977</v>
      </c>
      <c r="B106" s="9" t="s">
        <v>294</v>
      </c>
      <c r="C106" s="10">
        <v>43455</v>
      </c>
      <c r="D106" s="11">
        <v>43</v>
      </c>
      <c r="E106" s="12" t="s">
        <v>34</v>
      </c>
      <c r="F106" s="12" t="s">
        <v>35</v>
      </c>
      <c r="G106" s="12" t="s">
        <v>35</v>
      </c>
      <c r="H106" s="12" t="s">
        <v>36</v>
      </c>
      <c r="I106" s="11" t="s">
        <v>304</v>
      </c>
      <c r="J106" s="12" t="s">
        <v>305</v>
      </c>
      <c r="K106" s="13" t="s">
        <v>39</v>
      </c>
      <c r="L106" s="11" t="str">
        <f>"000012"</f>
        <v>000012</v>
      </c>
      <c r="M106" s="10">
        <v>42853</v>
      </c>
      <c r="N106" s="11" t="str">
        <f>"000103"</f>
        <v>000103</v>
      </c>
      <c r="O106" s="10">
        <v>42885</v>
      </c>
      <c r="P106" s="11" t="str">
        <f>"000229"</f>
        <v>000229</v>
      </c>
      <c r="Q106" s="10">
        <v>42886</v>
      </c>
      <c r="R106" s="11">
        <v>17</v>
      </c>
      <c r="S106" s="11" t="str">
        <f>"007794"</f>
        <v>007794</v>
      </c>
      <c r="T106" s="10">
        <v>43444</v>
      </c>
      <c r="U106" s="14">
        <v>4.8831100000000003</v>
      </c>
      <c r="V106" s="14">
        <v>0.64154999999999995</v>
      </c>
      <c r="W106" s="14">
        <v>4.2415599999999998</v>
      </c>
      <c r="X106" s="11">
        <v>301</v>
      </c>
      <c r="Y106" s="10">
        <v>43455</v>
      </c>
      <c r="Z106" s="11">
        <v>9900333496</v>
      </c>
      <c r="AA106" s="12" t="s">
        <v>48</v>
      </c>
      <c r="AB106" s="11" t="s">
        <v>207</v>
      </c>
      <c r="AC106" s="12" t="s">
        <v>208</v>
      </c>
      <c r="AD106" s="11" t="s">
        <v>43</v>
      </c>
      <c r="AE106" s="12" t="s">
        <v>44</v>
      </c>
      <c r="AF106" s="14">
        <f t="shared" si="0"/>
        <v>4.8831100000000002E-2</v>
      </c>
      <c r="AG106" s="11" t="s">
        <v>45</v>
      </c>
    </row>
    <row r="107" spans="1:33" x14ac:dyDescent="0.2">
      <c r="A107" s="8">
        <v>7978</v>
      </c>
      <c r="B107" s="9" t="s">
        <v>294</v>
      </c>
      <c r="C107" s="10">
        <v>43455</v>
      </c>
      <c r="D107" s="11">
        <v>43</v>
      </c>
      <c r="E107" s="12" t="s">
        <v>34</v>
      </c>
      <c r="F107" s="12" t="s">
        <v>35</v>
      </c>
      <c r="G107" s="12" t="s">
        <v>35</v>
      </c>
      <c r="H107" s="12" t="s">
        <v>36</v>
      </c>
      <c r="I107" s="11" t="s">
        <v>306</v>
      </c>
      <c r="J107" s="12" t="s">
        <v>307</v>
      </c>
      <c r="K107" s="13" t="s">
        <v>39</v>
      </c>
      <c r="L107" s="11" t="str">
        <f>"000015"</f>
        <v>000015</v>
      </c>
      <c r="M107" s="10">
        <v>42853</v>
      </c>
      <c r="N107" s="11" t="str">
        <f>"000105"</f>
        <v>000105</v>
      </c>
      <c r="O107" s="10">
        <v>42885</v>
      </c>
      <c r="P107" s="11" t="str">
        <f>"000231"</f>
        <v>000231</v>
      </c>
      <c r="Q107" s="10">
        <v>42886</v>
      </c>
      <c r="R107" s="11">
        <v>17</v>
      </c>
      <c r="S107" s="11" t="str">
        <f>"007795"</f>
        <v>007795</v>
      </c>
      <c r="T107" s="10">
        <v>43444</v>
      </c>
      <c r="U107" s="14">
        <v>9.7266300000000001</v>
      </c>
      <c r="V107" s="14">
        <v>1.3180099999999999</v>
      </c>
      <c r="W107" s="14">
        <v>8.4086200000000009</v>
      </c>
      <c r="X107" s="11">
        <v>301</v>
      </c>
      <c r="Y107" s="10">
        <v>43455</v>
      </c>
      <c r="Z107" s="11">
        <v>9900333496</v>
      </c>
      <c r="AA107" s="12" t="s">
        <v>48</v>
      </c>
      <c r="AB107" s="11" t="s">
        <v>207</v>
      </c>
      <c r="AC107" s="12" t="s">
        <v>208</v>
      </c>
      <c r="AD107" s="11" t="s">
        <v>43</v>
      </c>
      <c r="AE107" s="12" t="s">
        <v>44</v>
      </c>
      <c r="AF107" s="14">
        <f t="shared" si="0"/>
        <v>9.72663E-2</v>
      </c>
      <c r="AG107" s="11" t="s">
        <v>45</v>
      </c>
    </row>
    <row r="108" spans="1:33" x14ac:dyDescent="0.2">
      <c r="A108" s="8">
        <v>7979</v>
      </c>
      <c r="B108" s="9" t="s">
        <v>294</v>
      </c>
      <c r="C108" s="10">
        <v>43455</v>
      </c>
      <c r="D108" s="11">
        <v>43</v>
      </c>
      <c r="E108" s="12" t="s">
        <v>34</v>
      </c>
      <c r="F108" s="12" t="s">
        <v>35</v>
      </c>
      <c r="G108" s="12" t="s">
        <v>35</v>
      </c>
      <c r="H108" s="12" t="s">
        <v>36</v>
      </c>
      <c r="I108" s="11" t="s">
        <v>308</v>
      </c>
      <c r="J108" s="12" t="s">
        <v>309</v>
      </c>
      <c r="K108" s="13" t="s">
        <v>293</v>
      </c>
      <c r="L108" s="11" t="str">
        <f>"000010"</f>
        <v>000010</v>
      </c>
      <c r="M108" s="10">
        <v>42853</v>
      </c>
      <c r="N108" s="11" t="str">
        <f>"000106"</f>
        <v>000106</v>
      </c>
      <c r="O108" s="10">
        <v>42885</v>
      </c>
      <c r="P108" s="11" t="str">
        <f>"000232"</f>
        <v>000232</v>
      </c>
      <c r="Q108" s="10">
        <v>42886</v>
      </c>
      <c r="R108" s="11">
        <v>17</v>
      </c>
      <c r="S108" s="11" t="str">
        <f>"007796"</f>
        <v>007796</v>
      </c>
      <c r="T108" s="10">
        <v>43444</v>
      </c>
      <c r="U108" s="14">
        <v>9.9072499999999994</v>
      </c>
      <c r="V108" s="14">
        <v>1.32223</v>
      </c>
      <c r="W108" s="14">
        <v>8.5850200000000001</v>
      </c>
      <c r="X108" s="11">
        <v>301</v>
      </c>
      <c r="Y108" s="10">
        <v>43455</v>
      </c>
      <c r="Z108" s="11">
        <v>9900333496</v>
      </c>
      <c r="AA108" s="12" t="s">
        <v>48</v>
      </c>
      <c r="AB108" s="11" t="s">
        <v>207</v>
      </c>
      <c r="AC108" s="12" t="s">
        <v>208</v>
      </c>
      <c r="AD108" s="11" t="s">
        <v>43</v>
      </c>
      <c r="AE108" s="12" t="s">
        <v>44</v>
      </c>
      <c r="AF108" s="14">
        <f t="shared" si="0"/>
        <v>9.9072499999999994E-2</v>
      </c>
      <c r="AG108" s="11" t="s">
        <v>45</v>
      </c>
    </row>
    <row r="109" spans="1:33" x14ac:dyDescent="0.2">
      <c r="A109" s="8">
        <v>8521</v>
      </c>
      <c r="B109" s="9" t="s">
        <v>310</v>
      </c>
      <c r="C109" s="10">
        <v>43475</v>
      </c>
      <c r="D109" s="11">
        <v>43</v>
      </c>
      <c r="E109" s="12" t="s">
        <v>34</v>
      </c>
      <c r="F109" s="12" t="s">
        <v>35</v>
      </c>
      <c r="G109" s="12" t="s">
        <v>35</v>
      </c>
      <c r="H109" s="12" t="s">
        <v>36</v>
      </c>
      <c r="I109" s="11" t="s">
        <v>193</v>
      </c>
      <c r="J109" s="12" t="s">
        <v>194</v>
      </c>
      <c r="K109" s="13" t="s">
        <v>51</v>
      </c>
      <c r="L109" s="11" t="str">
        <f>"000076"</f>
        <v>000076</v>
      </c>
      <c r="M109" s="10">
        <v>42770</v>
      </c>
      <c r="N109" s="11" t="str">
        <f>"000060"</f>
        <v>000060</v>
      </c>
      <c r="O109" s="10">
        <v>43046</v>
      </c>
      <c r="P109" s="11" t="str">
        <f>"000107"</f>
        <v>000107</v>
      </c>
      <c r="Q109" s="10">
        <v>43053</v>
      </c>
      <c r="R109" s="11"/>
      <c r="S109" s="11" t="str">
        <f>"008145"</f>
        <v>008145</v>
      </c>
      <c r="T109" s="10">
        <v>43455</v>
      </c>
      <c r="U109" s="14">
        <v>4.4839599999999997</v>
      </c>
      <c r="V109" s="14">
        <v>0.45804</v>
      </c>
      <c r="W109" s="14">
        <v>4.0259200000000002</v>
      </c>
      <c r="X109" s="11">
        <v>320</v>
      </c>
      <c r="Y109" s="10">
        <v>43475</v>
      </c>
      <c r="Z109" s="11">
        <v>9900333496</v>
      </c>
      <c r="AA109" s="12" t="s">
        <v>89</v>
      </c>
      <c r="AB109" s="11" t="s">
        <v>134</v>
      </c>
      <c r="AC109" s="12" t="s">
        <v>135</v>
      </c>
      <c r="AD109" s="11" t="s">
        <v>43</v>
      </c>
      <c r="AE109" s="12" t="s">
        <v>44</v>
      </c>
      <c r="AF109" s="14">
        <f t="shared" si="0"/>
        <v>4.48396E-2</v>
      </c>
      <c r="AG109" s="11" t="s">
        <v>45</v>
      </c>
    </row>
    <row r="110" spans="1:33" x14ac:dyDescent="0.2">
      <c r="A110" s="8">
        <v>8545</v>
      </c>
      <c r="B110" s="9" t="s">
        <v>310</v>
      </c>
      <c r="C110" s="10">
        <v>43475</v>
      </c>
      <c r="D110" s="11">
        <v>43</v>
      </c>
      <c r="E110" s="12" t="s">
        <v>34</v>
      </c>
      <c r="F110" s="12" t="s">
        <v>35</v>
      </c>
      <c r="G110" s="12" t="s">
        <v>35</v>
      </c>
      <c r="H110" s="12" t="s">
        <v>36</v>
      </c>
      <c r="I110" s="11" t="s">
        <v>311</v>
      </c>
      <c r="J110" s="12" t="s">
        <v>312</v>
      </c>
      <c r="K110" s="13" t="s">
        <v>293</v>
      </c>
      <c r="L110" s="11" t="str">
        <f>"000442"</f>
        <v>000442</v>
      </c>
      <c r="M110" s="10">
        <v>42786</v>
      </c>
      <c r="N110" s="11" t="str">
        <f>"000114"</f>
        <v>000114</v>
      </c>
      <c r="O110" s="10">
        <v>42885</v>
      </c>
      <c r="P110" s="11" t="str">
        <f>"000297"</f>
        <v>000297</v>
      </c>
      <c r="Q110" s="10">
        <v>42905</v>
      </c>
      <c r="R110" s="11"/>
      <c r="S110" s="11" t="str">
        <f>"008196"</f>
        <v>008196</v>
      </c>
      <c r="T110" s="10">
        <v>43455</v>
      </c>
      <c r="U110" s="14">
        <v>96.538110000000003</v>
      </c>
      <c r="V110" s="14">
        <v>13.72171</v>
      </c>
      <c r="W110" s="14">
        <v>82.816400000000002</v>
      </c>
      <c r="X110" s="11">
        <v>321</v>
      </c>
      <c r="Y110" s="10">
        <v>43475</v>
      </c>
      <c r="Z110" s="11">
        <v>9900333496</v>
      </c>
      <c r="AA110" s="12" t="s">
        <v>107</v>
      </c>
      <c r="AB110" s="11" t="s">
        <v>134</v>
      </c>
      <c r="AC110" s="12" t="s">
        <v>135</v>
      </c>
      <c r="AD110" s="11" t="s">
        <v>43</v>
      </c>
      <c r="AE110" s="12" t="s">
        <v>44</v>
      </c>
      <c r="AF110" s="14">
        <f t="shared" si="0"/>
        <v>0.96538109999999999</v>
      </c>
      <c r="AG110" s="11" t="s">
        <v>45</v>
      </c>
    </row>
    <row r="111" spans="1:33" x14ac:dyDescent="0.2">
      <c r="A111" s="8">
        <v>8565</v>
      </c>
      <c r="B111" s="9" t="s">
        <v>310</v>
      </c>
      <c r="C111" s="10">
        <v>43475</v>
      </c>
      <c r="D111" s="11">
        <v>43</v>
      </c>
      <c r="E111" s="12" t="s">
        <v>34</v>
      </c>
      <c r="F111" s="12" t="s">
        <v>35</v>
      </c>
      <c r="G111" s="12" t="s">
        <v>35</v>
      </c>
      <c r="H111" s="12" t="s">
        <v>36</v>
      </c>
      <c r="I111" s="11" t="s">
        <v>313</v>
      </c>
      <c r="J111" s="12" t="s">
        <v>314</v>
      </c>
      <c r="K111" s="13" t="s">
        <v>78</v>
      </c>
      <c r="L111" s="11" t="str">
        <f>"000498"</f>
        <v>000498</v>
      </c>
      <c r="M111" s="10">
        <v>42808</v>
      </c>
      <c r="N111" s="11" t="str">
        <f>"000151"</f>
        <v>000151</v>
      </c>
      <c r="O111" s="10">
        <v>42895</v>
      </c>
      <c r="P111" s="11" t="str">
        <f>"000305"</f>
        <v>000305</v>
      </c>
      <c r="Q111" s="10">
        <v>42907</v>
      </c>
      <c r="R111" s="11"/>
      <c r="S111" s="11" t="str">
        <f>"008224"</f>
        <v>008224</v>
      </c>
      <c r="T111" s="10">
        <v>43455</v>
      </c>
      <c r="U111" s="14">
        <v>14.74512</v>
      </c>
      <c r="V111" s="14">
        <v>2.0019900000000002</v>
      </c>
      <c r="W111" s="14">
        <v>12.743130000000001</v>
      </c>
      <c r="X111" s="11">
        <v>321</v>
      </c>
      <c r="Y111" s="10">
        <v>43475</v>
      </c>
      <c r="Z111" s="11">
        <v>9900333496</v>
      </c>
      <c r="AA111" s="12" t="s">
        <v>48</v>
      </c>
      <c r="AB111" s="11" t="s">
        <v>170</v>
      </c>
      <c r="AC111" s="12" t="s">
        <v>171</v>
      </c>
      <c r="AD111" s="11" t="s">
        <v>43</v>
      </c>
      <c r="AE111" s="12" t="s">
        <v>44</v>
      </c>
      <c r="AF111" s="14">
        <f t="shared" si="0"/>
        <v>0.1474512</v>
      </c>
      <c r="AG111" s="11" t="s">
        <v>45</v>
      </c>
    </row>
    <row r="112" spans="1:33" x14ac:dyDescent="0.2">
      <c r="A112" s="8">
        <v>8623</v>
      </c>
      <c r="B112" s="9" t="s">
        <v>310</v>
      </c>
      <c r="C112" s="10">
        <v>43481</v>
      </c>
      <c r="D112" s="11">
        <v>43</v>
      </c>
      <c r="E112" s="12" t="s">
        <v>34</v>
      </c>
      <c r="F112" s="12" t="s">
        <v>35</v>
      </c>
      <c r="G112" s="12" t="s">
        <v>35</v>
      </c>
      <c r="H112" s="12" t="s">
        <v>36</v>
      </c>
      <c r="I112" s="11" t="s">
        <v>315</v>
      </c>
      <c r="J112" s="12" t="s">
        <v>316</v>
      </c>
      <c r="K112" s="13" t="s">
        <v>78</v>
      </c>
      <c r="L112" s="11" t="str">
        <f>"000132"</f>
        <v>000132</v>
      </c>
      <c r="M112" s="10">
        <v>43127</v>
      </c>
      <c r="N112" s="11" t="str">
        <f>"000097"</f>
        <v>000097</v>
      </c>
      <c r="O112" s="10">
        <v>43300</v>
      </c>
      <c r="P112" s="11" t="str">
        <f>"000195"</f>
        <v>000195</v>
      </c>
      <c r="Q112" s="10">
        <v>43304</v>
      </c>
      <c r="R112" s="11"/>
      <c r="S112" s="11" t="str">
        <f>"008466"</f>
        <v>008466</v>
      </c>
      <c r="T112" s="10">
        <v>43467</v>
      </c>
      <c r="U112" s="14">
        <v>39.988819999999997</v>
      </c>
      <c r="V112" s="14">
        <v>4.87615</v>
      </c>
      <c r="W112" s="14">
        <v>35.112670000000001</v>
      </c>
      <c r="X112" s="11">
        <v>325</v>
      </c>
      <c r="Y112" s="10">
        <v>43481</v>
      </c>
      <c r="Z112" s="11">
        <v>9900333496</v>
      </c>
      <c r="AA112" s="12" t="s">
        <v>48</v>
      </c>
      <c r="AB112" s="11" t="s">
        <v>60</v>
      </c>
      <c r="AC112" s="12" t="s">
        <v>61</v>
      </c>
      <c r="AD112" s="11" t="s">
        <v>43</v>
      </c>
      <c r="AE112" s="12" t="s">
        <v>44</v>
      </c>
      <c r="AF112" s="14">
        <f t="shared" si="0"/>
        <v>0.39988819999999997</v>
      </c>
      <c r="AG112" s="11" t="s">
        <v>90</v>
      </c>
    </row>
    <row r="113" spans="1:33" x14ac:dyDescent="0.2">
      <c r="A113" s="8">
        <v>8782</v>
      </c>
      <c r="B113" s="9" t="s">
        <v>310</v>
      </c>
      <c r="C113" s="10">
        <v>43486</v>
      </c>
      <c r="D113" s="11">
        <v>43</v>
      </c>
      <c r="E113" s="12" t="s">
        <v>34</v>
      </c>
      <c r="F113" s="12" t="s">
        <v>35</v>
      </c>
      <c r="G113" s="12" t="s">
        <v>35</v>
      </c>
      <c r="H113" s="12" t="s">
        <v>36</v>
      </c>
      <c r="I113" s="11" t="s">
        <v>98</v>
      </c>
      <c r="J113" s="12" t="s">
        <v>99</v>
      </c>
      <c r="K113" s="13" t="s">
        <v>78</v>
      </c>
      <c r="L113" s="11" t="str">
        <f>"000103"</f>
        <v>000103</v>
      </c>
      <c r="M113" s="10">
        <v>43070</v>
      </c>
      <c r="N113" s="11" t="str">
        <f>"000134"</f>
        <v>000134</v>
      </c>
      <c r="O113" s="10">
        <v>43140</v>
      </c>
      <c r="P113" s="11" t="str">
        <f>"000216"</f>
        <v>000216</v>
      </c>
      <c r="Q113" s="10">
        <v>43140</v>
      </c>
      <c r="R113" s="11"/>
      <c r="S113" s="11" t="str">
        <f>"010850"</f>
        <v>010850</v>
      </c>
      <c r="T113" s="10">
        <v>43184</v>
      </c>
      <c r="U113" s="14">
        <v>317.94797</v>
      </c>
      <c r="V113" s="14">
        <v>18.02317</v>
      </c>
      <c r="W113" s="14">
        <v>299.9248</v>
      </c>
      <c r="X113" s="11">
        <v>331</v>
      </c>
      <c r="Y113" s="10">
        <v>43486</v>
      </c>
      <c r="Z113" s="11">
        <v>8023464924</v>
      </c>
      <c r="AA113" s="12" t="s">
        <v>100</v>
      </c>
      <c r="AB113" s="11" t="s">
        <v>101</v>
      </c>
      <c r="AC113" s="12" t="s">
        <v>102</v>
      </c>
      <c r="AD113" s="11" t="s">
        <v>43</v>
      </c>
      <c r="AE113" s="12" t="s">
        <v>44</v>
      </c>
      <c r="AF113" s="14">
        <f t="shared" si="0"/>
        <v>3.1794796999999999</v>
      </c>
      <c r="AG113" s="11" t="s">
        <v>45</v>
      </c>
    </row>
    <row r="114" spans="1:33" x14ac:dyDescent="0.2">
      <c r="A114" s="8">
        <v>9098</v>
      </c>
      <c r="B114" s="9" t="s">
        <v>317</v>
      </c>
      <c r="C114" s="10">
        <v>43508</v>
      </c>
      <c r="D114" s="11">
        <v>43</v>
      </c>
      <c r="E114" s="12" t="s">
        <v>34</v>
      </c>
      <c r="F114" s="12" t="s">
        <v>35</v>
      </c>
      <c r="G114" s="12" t="s">
        <v>35</v>
      </c>
      <c r="H114" s="12" t="s">
        <v>36</v>
      </c>
      <c r="I114" s="11" t="s">
        <v>318</v>
      </c>
      <c r="J114" s="12" t="s">
        <v>319</v>
      </c>
      <c r="K114" s="13" t="s">
        <v>78</v>
      </c>
      <c r="L114" s="11" t="str">
        <f>"000172"</f>
        <v>000172</v>
      </c>
      <c r="M114" s="10">
        <v>42592</v>
      </c>
      <c r="N114" s="11" t="str">
        <f>"000329"</f>
        <v>000329</v>
      </c>
      <c r="O114" s="10">
        <v>42628</v>
      </c>
      <c r="P114" s="11" t="str">
        <f>"000727"</f>
        <v>000727</v>
      </c>
      <c r="Q114" s="10">
        <v>42704</v>
      </c>
      <c r="R114" s="11"/>
      <c r="S114" s="11" t="str">
        <f>"008516"</f>
        <v>008516</v>
      </c>
      <c r="T114" s="10">
        <v>43468</v>
      </c>
      <c r="U114" s="14">
        <v>10.311389999999999</v>
      </c>
      <c r="V114" s="14">
        <v>1.3976599999999999</v>
      </c>
      <c r="W114" s="14">
        <v>8.9137299999999993</v>
      </c>
      <c r="X114" s="11">
        <v>348</v>
      </c>
      <c r="Y114" s="10">
        <v>43508</v>
      </c>
      <c r="Z114" s="11">
        <v>9900333496</v>
      </c>
      <c r="AA114" s="12" t="s">
        <v>48</v>
      </c>
      <c r="AB114" s="11" t="s">
        <v>198</v>
      </c>
      <c r="AC114" s="12" t="s">
        <v>199</v>
      </c>
      <c r="AD114" s="11" t="s">
        <v>43</v>
      </c>
      <c r="AE114" s="12" t="s">
        <v>44</v>
      </c>
      <c r="AF114" s="14">
        <f t="shared" si="0"/>
        <v>0.10311389999999999</v>
      </c>
      <c r="AG114" s="11" t="s">
        <v>45</v>
      </c>
    </row>
    <row r="115" spans="1:33" x14ac:dyDescent="0.2">
      <c r="A115" s="8">
        <v>9099</v>
      </c>
      <c r="B115" s="9" t="s">
        <v>317</v>
      </c>
      <c r="C115" s="10">
        <v>43508</v>
      </c>
      <c r="D115" s="11">
        <v>43</v>
      </c>
      <c r="E115" s="12" t="s">
        <v>34</v>
      </c>
      <c r="F115" s="12" t="s">
        <v>35</v>
      </c>
      <c r="G115" s="12" t="s">
        <v>35</v>
      </c>
      <c r="H115" s="12" t="s">
        <v>36</v>
      </c>
      <c r="I115" s="11" t="s">
        <v>320</v>
      </c>
      <c r="J115" s="12" t="s">
        <v>321</v>
      </c>
      <c r="K115" s="13" t="s">
        <v>78</v>
      </c>
      <c r="L115" s="11" t="str">
        <f>"000171"</f>
        <v>000171</v>
      </c>
      <c r="M115" s="10">
        <v>42592</v>
      </c>
      <c r="N115" s="11" t="str">
        <f>"000328"</f>
        <v>000328</v>
      </c>
      <c r="O115" s="10">
        <v>42628</v>
      </c>
      <c r="P115" s="11" t="str">
        <f>"000728"</f>
        <v>000728</v>
      </c>
      <c r="Q115" s="10">
        <v>42704</v>
      </c>
      <c r="R115" s="11"/>
      <c r="S115" s="11" t="str">
        <f>"008517"</f>
        <v>008517</v>
      </c>
      <c r="T115" s="10">
        <v>43468</v>
      </c>
      <c r="U115" s="14">
        <v>15.19417</v>
      </c>
      <c r="V115" s="14">
        <v>2.1215000000000002</v>
      </c>
      <c r="W115" s="14">
        <v>13.07267</v>
      </c>
      <c r="X115" s="11">
        <v>348</v>
      </c>
      <c r="Y115" s="10">
        <v>43508</v>
      </c>
      <c r="Z115" s="11">
        <v>9900333496</v>
      </c>
      <c r="AA115" s="12" t="s">
        <v>48</v>
      </c>
      <c r="AB115" s="11" t="s">
        <v>198</v>
      </c>
      <c r="AC115" s="12" t="s">
        <v>199</v>
      </c>
      <c r="AD115" s="11" t="s">
        <v>43</v>
      </c>
      <c r="AE115" s="12" t="s">
        <v>44</v>
      </c>
      <c r="AF115" s="14">
        <f t="shared" si="0"/>
        <v>0.15194169999999999</v>
      </c>
      <c r="AG115" s="11" t="s">
        <v>45</v>
      </c>
    </row>
    <row r="116" spans="1:33" x14ac:dyDescent="0.2">
      <c r="A116" s="8">
        <v>9169</v>
      </c>
      <c r="B116" s="9" t="s">
        <v>317</v>
      </c>
      <c r="C116" s="10">
        <v>43509</v>
      </c>
      <c r="D116" s="11">
        <v>43</v>
      </c>
      <c r="E116" s="12" t="s">
        <v>34</v>
      </c>
      <c r="F116" s="12" t="s">
        <v>35</v>
      </c>
      <c r="G116" s="12" t="s">
        <v>35</v>
      </c>
      <c r="H116" s="12" t="s">
        <v>36</v>
      </c>
      <c r="I116" s="11" t="s">
        <v>232</v>
      </c>
      <c r="J116" s="12" t="s">
        <v>233</v>
      </c>
      <c r="K116" s="13" t="s">
        <v>59</v>
      </c>
      <c r="L116" s="11" t="str">
        <f>"000088"</f>
        <v>000088</v>
      </c>
      <c r="M116" s="10">
        <v>42944</v>
      </c>
      <c r="N116" s="11" t="str">
        <f>"000265"</f>
        <v>000265</v>
      </c>
      <c r="O116" s="10">
        <v>43469</v>
      </c>
      <c r="P116" s="11" t="str">
        <f>"000429"</f>
        <v>000429</v>
      </c>
      <c r="Q116" s="10">
        <v>43470</v>
      </c>
      <c r="R116" s="11"/>
      <c r="S116" s="11" t="str">
        <f>"009221"</f>
        <v>009221</v>
      </c>
      <c r="T116" s="10">
        <v>43508</v>
      </c>
      <c r="U116" s="14">
        <v>19.08614</v>
      </c>
      <c r="V116" s="14">
        <v>2.1231</v>
      </c>
      <c r="W116" s="14">
        <v>16.963039999999999</v>
      </c>
      <c r="X116" s="11">
        <v>350</v>
      </c>
      <c r="Y116" s="10">
        <v>43509</v>
      </c>
      <c r="Z116" s="11">
        <v>9900333496</v>
      </c>
      <c r="AA116" s="12" t="s">
        <v>48</v>
      </c>
      <c r="AB116" s="11" t="s">
        <v>41</v>
      </c>
      <c r="AC116" s="12" t="s">
        <v>42</v>
      </c>
      <c r="AD116" s="11" t="s">
        <v>43</v>
      </c>
      <c r="AE116" s="12" t="s">
        <v>44</v>
      </c>
      <c r="AF116" s="14">
        <f t="shared" si="0"/>
        <v>0.19086140000000001</v>
      </c>
      <c r="AG116" s="11" t="s">
        <v>90</v>
      </c>
    </row>
    <row r="117" spans="1:33" x14ac:dyDescent="0.2">
      <c r="A117" s="8">
        <v>9733</v>
      </c>
      <c r="B117" s="9" t="s">
        <v>322</v>
      </c>
      <c r="C117" s="10">
        <v>43544</v>
      </c>
      <c r="D117" s="11">
        <v>43</v>
      </c>
      <c r="E117" s="12" t="s">
        <v>34</v>
      </c>
      <c r="F117" s="12" t="s">
        <v>35</v>
      </c>
      <c r="G117" s="12" t="s">
        <v>35</v>
      </c>
      <c r="H117" s="12" t="s">
        <v>36</v>
      </c>
      <c r="I117" s="11" t="s">
        <v>323</v>
      </c>
      <c r="J117" s="12" t="s">
        <v>324</v>
      </c>
      <c r="K117" s="15" t="s">
        <v>169</v>
      </c>
      <c r="L117" s="11" t="str">
        <f>"000002"</f>
        <v>000002</v>
      </c>
      <c r="M117" s="10">
        <v>43193</v>
      </c>
      <c r="N117" s="11" t="str">
        <f>"000035"</f>
        <v>000035</v>
      </c>
      <c r="O117" s="10">
        <v>43249</v>
      </c>
      <c r="P117" s="11" t="str">
        <f>"000061"</f>
        <v>000061</v>
      </c>
      <c r="Q117" s="10">
        <v>43249</v>
      </c>
      <c r="R117" s="11"/>
      <c r="S117" s="11" t="str">
        <f>"009713"</f>
        <v>009713</v>
      </c>
      <c r="T117" s="10">
        <v>43538</v>
      </c>
      <c r="U117" s="14">
        <v>29.992999999999999</v>
      </c>
      <c r="V117" s="14">
        <v>3.64011</v>
      </c>
      <c r="W117" s="14">
        <v>26.352889999999999</v>
      </c>
      <c r="X117" s="11">
        <v>378</v>
      </c>
      <c r="Y117" s="10">
        <v>43544</v>
      </c>
      <c r="Z117" s="11">
        <v>9900333496</v>
      </c>
      <c r="AA117" s="12" t="s">
        <v>48</v>
      </c>
      <c r="AB117" s="11" t="s">
        <v>198</v>
      </c>
      <c r="AC117" s="12" t="s">
        <v>199</v>
      </c>
      <c r="AD117" s="11" t="s">
        <v>43</v>
      </c>
      <c r="AE117" s="12" t="s">
        <v>44</v>
      </c>
      <c r="AF117" s="14">
        <f t="shared" si="0"/>
        <v>0.29992999999999997</v>
      </c>
      <c r="AG117" s="11" t="s">
        <v>86</v>
      </c>
    </row>
    <row r="118" spans="1:33" x14ac:dyDescent="0.2">
      <c r="A118" s="8">
        <v>9734</v>
      </c>
      <c r="B118" s="9" t="s">
        <v>322</v>
      </c>
      <c r="C118" s="10">
        <v>43544</v>
      </c>
      <c r="D118" s="11">
        <v>43</v>
      </c>
      <c r="E118" s="12" t="s">
        <v>34</v>
      </c>
      <c r="F118" s="12" t="s">
        <v>35</v>
      </c>
      <c r="G118" s="12" t="s">
        <v>35</v>
      </c>
      <c r="H118" s="12" t="s">
        <v>36</v>
      </c>
      <c r="I118" s="11" t="s">
        <v>325</v>
      </c>
      <c r="J118" s="12" t="s">
        <v>326</v>
      </c>
      <c r="K118" s="13" t="s">
        <v>327</v>
      </c>
      <c r="L118" s="11" t="str">
        <f>"000422"</f>
        <v>000422</v>
      </c>
      <c r="M118" s="10">
        <v>43186</v>
      </c>
      <c r="N118" s="11" t="str">
        <f>"000034"</f>
        <v>000034</v>
      </c>
      <c r="O118" s="10">
        <v>43249</v>
      </c>
      <c r="P118" s="11" t="str">
        <f>"000062"</f>
        <v>000062</v>
      </c>
      <c r="Q118" s="10">
        <v>43249</v>
      </c>
      <c r="R118" s="11"/>
      <c r="S118" s="11" t="str">
        <f>"009715"</f>
        <v>009715</v>
      </c>
      <c r="T118" s="10">
        <v>43538</v>
      </c>
      <c r="U118" s="14">
        <v>19.794460000000001</v>
      </c>
      <c r="V118" s="14">
        <v>2.2991700000000002</v>
      </c>
      <c r="W118" s="14">
        <v>17.495290000000001</v>
      </c>
      <c r="X118" s="11">
        <v>378</v>
      </c>
      <c r="Y118" s="10">
        <v>43544</v>
      </c>
      <c r="Z118" s="11">
        <v>9900333496</v>
      </c>
      <c r="AA118" s="12" t="s">
        <v>48</v>
      </c>
      <c r="AB118" s="11" t="s">
        <v>198</v>
      </c>
      <c r="AC118" s="12" t="s">
        <v>199</v>
      </c>
      <c r="AD118" s="11" t="s">
        <v>43</v>
      </c>
      <c r="AE118" s="12" t="s">
        <v>44</v>
      </c>
      <c r="AF118" s="14">
        <f t="shared" si="0"/>
        <v>0.1979446</v>
      </c>
      <c r="AG118" s="11" t="s">
        <v>90</v>
      </c>
    </row>
    <row r="119" spans="1:33" x14ac:dyDescent="0.2">
      <c r="A119" s="8">
        <v>9735</v>
      </c>
      <c r="B119" s="9" t="s">
        <v>322</v>
      </c>
      <c r="C119" s="10">
        <v>43544</v>
      </c>
      <c r="D119" s="11">
        <v>43</v>
      </c>
      <c r="E119" s="12" t="s">
        <v>34</v>
      </c>
      <c r="F119" s="12" t="s">
        <v>35</v>
      </c>
      <c r="G119" s="12" t="s">
        <v>35</v>
      </c>
      <c r="H119" s="12" t="s">
        <v>36</v>
      </c>
      <c r="I119" s="11" t="s">
        <v>328</v>
      </c>
      <c r="J119" s="12" t="s">
        <v>329</v>
      </c>
      <c r="K119" s="13" t="s">
        <v>300</v>
      </c>
      <c r="L119" s="11" t="str">
        <f>"000408"</f>
        <v>000408</v>
      </c>
      <c r="M119" s="10">
        <v>43185</v>
      </c>
      <c r="N119" s="11" t="str">
        <f>"000033"</f>
        <v>000033</v>
      </c>
      <c r="O119" s="10">
        <v>43249</v>
      </c>
      <c r="P119" s="11" t="str">
        <f>"000063"</f>
        <v>000063</v>
      </c>
      <c r="Q119" s="10">
        <v>43249</v>
      </c>
      <c r="R119" s="11"/>
      <c r="S119" s="11" t="str">
        <f>"009717"</f>
        <v>009717</v>
      </c>
      <c r="T119" s="10">
        <v>43538</v>
      </c>
      <c r="U119" s="14">
        <v>14.946859999999999</v>
      </c>
      <c r="V119" s="14">
        <v>1.7921100000000001</v>
      </c>
      <c r="W119" s="14">
        <v>13.15475</v>
      </c>
      <c r="X119" s="11">
        <v>378</v>
      </c>
      <c r="Y119" s="10">
        <v>43544</v>
      </c>
      <c r="Z119" s="11">
        <v>9900333496</v>
      </c>
      <c r="AA119" s="12" t="s">
        <v>48</v>
      </c>
      <c r="AB119" s="11" t="s">
        <v>198</v>
      </c>
      <c r="AC119" s="12" t="s">
        <v>199</v>
      </c>
      <c r="AD119" s="11" t="s">
        <v>43</v>
      </c>
      <c r="AE119" s="12" t="s">
        <v>44</v>
      </c>
      <c r="AF119" s="14">
        <f t="shared" si="0"/>
        <v>0.14946859999999998</v>
      </c>
      <c r="AG119" s="11" t="s">
        <v>90</v>
      </c>
    </row>
    <row r="120" spans="1:33" x14ac:dyDescent="0.2">
      <c r="A120" s="8">
        <v>10115</v>
      </c>
      <c r="B120" s="9" t="s">
        <v>322</v>
      </c>
      <c r="C120" s="10">
        <v>43552</v>
      </c>
      <c r="D120" s="11">
        <v>43</v>
      </c>
      <c r="E120" s="12" t="s">
        <v>34</v>
      </c>
      <c r="F120" s="12" t="s">
        <v>35</v>
      </c>
      <c r="G120" s="12" t="s">
        <v>35</v>
      </c>
      <c r="H120" s="12" t="s">
        <v>36</v>
      </c>
      <c r="I120" s="11" t="s">
        <v>330</v>
      </c>
      <c r="J120" s="12" t="s">
        <v>331</v>
      </c>
      <c r="K120" s="13" t="s">
        <v>39</v>
      </c>
      <c r="L120" s="11" t="str">
        <f>"000045"</f>
        <v>000045</v>
      </c>
      <c r="M120" s="10">
        <v>42961</v>
      </c>
      <c r="N120" s="11" t="str">
        <f>"000056"</f>
        <v>000056</v>
      </c>
      <c r="O120" s="10">
        <v>43066</v>
      </c>
      <c r="P120" s="11" t="str">
        <f>"000085"</f>
        <v>000085</v>
      </c>
      <c r="Q120" s="10">
        <v>43066</v>
      </c>
      <c r="R120" s="11"/>
      <c r="S120" s="11" t="str">
        <f>"010150"</f>
        <v>010150</v>
      </c>
      <c r="T120" s="10">
        <v>43552</v>
      </c>
      <c r="U120" s="14">
        <v>4.5403700000000002</v>
      </c>
      <c r="V120" s="14">
        <v>0.46317000000000003</v>
      </c>
      <c r="W120" s="14">
        <v>4.0772000000000004</v>
      </c>
      <c r="X120" s="11">
        <v>392</v>
      </c>
      <c r="Y120" s="10">
        <v>43552</v>
      </c>
      <c r="Z120" s="11">
        <v>9845008155</v>
      </c>
      <c r="AA120" s="12" t="s">
        <v>332</v>
      </c>
      <c r="AB120" s="11" t="s">
        <v>182</v>
      </c>
      <c r="AC120" s="12" t="s">
        <v>183</v>
      </c>
      <c r="AD120" s="11" t="s">
        <v>84</v>
      </c>
      <c r="AE120" s="12" t="s">
        <v>85</v>
      </c>
      <c r="AF120" s="14">
        <f t="shared" si="0"/>
        <v>4.5403700000000005E-2</v>
      </c>
      <c r="AG120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2019-06-12T11:07:12Z</dcterms:modified>
</cp:coreProperties>
</file>