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2" i="1" l="1"/>
  <c r="S52" i="1"/>
  <c r="P52" i="1"/>
  <c r="N52" i="1"/>
  <c r="L52" i="1"/>
  <c r="AF51" i="1"/>
  <c r="S51" i="1"/>
  <c r="P51" i="1"/>
  <c r="N51" i="1"/>
  <c r="L51" i="1"/>
  <c r="AF50" i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S31" i="1"/>
  <c r="P31" i="1"/>
  <c r="N31" i="1"/>
  <c r="L31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<sst xmlns="http://schemas.openxmlformats.org/spreadsheetml/2006/main" count="747" uniqueCount="219">
  <si>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</si>
  <si>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</si>
  <si>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</si>
  <si>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</si>
  <si>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</si>
  <si>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</si>
  <si>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</si>
  <si>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</si>
  <si>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</si>
  <si>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</si>
  <si>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</si>
  <si>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</si>
  <si>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</si>
  <si>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</si>
  <si>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</si>
  <si>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</si>
  <si>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</si>
  <si>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</si>
  <si>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</si>
  <si>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</si>
  <si>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</si>
  <si>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</si>
  <si>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</si>
  <si>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</si>
  <si>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</si>
  <si>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</si>
  <si>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</si>
  <si>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</si>
  <si>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</si>
  <si>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</si>
  <si>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</si>
  <si>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</si>
  <si>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</si>
  <si>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June</t>
  </si>
  <si>
    <t>Malleshwaram</t>
  </si>
  <si>
    <t>Mattikere</t>
  </si>
  <si>
    <t>West</t>
  </si>
  <si>
    <t>045-17-000012</t>
  </si>
  <si>
    <t>Construction of Multi purpose building 3rd floor (Health centre, Gym and Library) at Subedarpalya School compound in ward no.45</t>
  </si>
  <si>
    <t>Other Ward Works</t>
  </si>
  <si>
    <t>Dhananjaya BS</t>
  </si>
  <si>
    <t>P1771</t>
  </si>
  <si>
    <t>Zone Works - POW Works</t>
  </si>
  <si>
    <t>ddo208</t>
  </si>
  <si>
    <t xml:space="preserve"> Assistant Executive Engineer Mathikere West Zone</t>
  </si>
  <si>
    <t>Pending</t>
  </si>
  <si>
    <t>045-15-000002</t>
  </si>
  <si>
    <t xml:space="preserve">Construction of New drain below Railway under pass at Yeshwanthpur (from NH4 to S.C. Road) in ward no.45 </t>
  </si>
  <si>
    <t>Footpaths &amp; Walkability</t>
  </si>
  <si>
    <t>Dhananjaya B S</t>
  </si>
  <si>
    <t>045-17-000001</t>
  </si>
  <si>
    <t>Providing S S Railings and Land scape works around Vivekananda Statue infront of Karle Group Tumkur road Metro junction in ward no 45</t>
  </si>
  <si>
    <t>TECHNICAL MANAGER(WEST) KRIDL</t>
  </si>
  <si>
    <t>P0190</t>
  </si>
  <si>
    <t>Works sanctioned by Hon Mayor</t>
  </si>
  <si>
    <t>045-16-000019</t>
  </si>
  <si>
    <t xml:space="preserve">Mainteance of Ward (including Debries Removal) in ward no.45 From 2nd shift 200PM to 10.00PM </t>
  </si>
  <si>
    <t>V Sreedhara</t>
  </si>
  <si>
    <t>045-16-000018</t>
  </si>
  <si>
    <t xml:space="preserve">Mainteance of Ward (including Debries Removal) in ward no.45 From Ist shift 6.00AM to 2.00PM </t>
  </si>
  <si>
    <t>V SREEDHARA</t>
  </si>
  <si>
    <t>045-16-000015</t>
  </si>
  <si>
    <t>Removing damage concreting road and Providing concreting to 9th main road K N extn from 6th cross to 4th cross and surrounding area in ward no.45</t>
  </si>
  <si>
    <t>Roads &amp; Drivablility</t>
  </si>
  <si>
    <t>V Sreedhar</t>
  </si>
  <si>
    <t>July</t>
  </si>
  <si>
    <t>045-14-000033</t>
  </si>
  <si>
    <t>Providing electrical maintenance of furnance DG set motors etc complet at Mediagrahara electric cremarorium in W-45</t>
  </si>
  <si>
    <t>M/s Thirumala Electricals</t>
  </si>
  <si>
    <t>P0287</t>
  </si>
  <si>
    <t>M and R to Electrical Crematoria</t>
  </si>
  <si>
    <t>ddo617</t>
  </si>
  <si>
    <t xml:space="preserve"> Executive Engineer Electrical Yelhanka Zone</t>
  </si>
  <si>
    <t>045-16-000016</t>
  </si>
  <si>
    <t>Removing damage concreting road and Providing concreting to 6th cross K N extn from triveni road to subedarpalya 1st main road in ward no.45</t>
  </si>
  <si>
    <t xml:space="preserve">V Sreedhara </t>
  </si>
  <si>
    <t>045-16-000012</t>
  </si>
  <si>
    <t>Emergency works (Maintenance of Footpath in ward no.45 Malleshwaram Area)</t>
  </si>
  <si>
    <t xml:space="preserve">P Arvind </t>
  </si>
  <si>
    <t>045-16-000010</t>
  </si>
  <si>
    <t>Emergency works (Construction of Collapsed Compound wall and Providing New gate to RTO Complex Building in ward no.45 Malleshwaram)</t>
  </si>
  <si>
    <t>BK DILIP</t>
  </si>
  <si>
    <t>045-17-000009</t>
  </si>
  <si>
    <t>Providing Repairs to Borewell and Distribution Line at RTO complex in ward no.45</t>
  </si>
  <si>
    <t>Water &amp; Sanitary</t>
  </si>
  <si>
    <t>SRI Y H KRISHNA</t>
  </si>
  <si>
    <t>045-16-000003</t>
  </si>
  <si>
    <t xml:space="preserve"> Annual Operation And maintenance Of Street Lights at Malleshwaram in Ward No- 45</t>
  </si>
  <si>
    <t>Manoj Enterprises</t>
  </si>
  <si>
    <t>P0300</t>
  </si>
  <si>
    <t>M and R to Street Lights - Replacement of Burnt Bulbs etc. (Package)</t>
  </si>
  <si>
    <t>ddo209</t>
  </si>
  <si>
    <t xml:space="preserve"> Assistant Executive Engineer Electrical West Zone</t>
  </si>
  <si>
    <t>045-17-000045</t>
  </si>
  <si>
    <t>Providing asphalting and improvements to footpath in 8th cross, Gokula, 1st stage, 2nd phase and surrounding area in Ward 45</t>
  </si>
  <si>
    <t xml:space="preserve">Sri Venkatachalapathi S/o D Muni Venkatappa </t>
  </si>
  <si>
    <t>P3158</t>
  </si>
  <si>
    <t>SIP Infrastructure Project works</t>
  </si>
  <si>
    <t>Current</t>
  </si>
  <si>
    <t>045-17-000052</t>
  </si>
  <si>
    <t>Providing asphalting and improvements to footpath to 4th and 4th A main, KN Extension and surrounding area in Ward 45</t>
  </si>
  <si>
    <t xml:space="preserve">Sri Venkatachalapathi </t>
  </si>
  <si>
    <t>045-17-000049</t>
  </si>
  <si>
    <t>Providing asphalting and improvements to footpath in 5rd and 6th cross, KN Extension and surrounding area in Ward 45</t>
  </si>
  <si>
    <t>045-17-000041</t>
  </si>
  <si>
    <t xml:space="preserve">Providing asphalting To 10th Main 10th A Main, 11th Main, 12th Main, 13th Main, and 14th Main Roads Malleshwaram In Ward No 45 </t>
  </si>
  <si>
    <t>045-17-000051</t>
  </si>
  <si>
    <t>Providing asphalting to 3rd and 3rd A main road in KN Extension and surrounding area in Ward 45</t>
  </si>
  <si>
    <t>045-17-000040</t>
  </si>
  <si>
    <t xml:space="preserve">Removing Damage Concreting Roads And Providing Asphalting To 6th,7th,and 8th Main Road From 6th Cross To 4th Cross K.N Ext Ward No:45 </t>
  </si>
  <si>
    <t>045-17-000039</t>
  </si>
  <si>
    <t>Removing Damage Concreting Roads And Providing Asphalting To 6th Main,7th Main Road Gokula, 3rd Main Road K.N Ext Ward No:45</t>
  </si>
  <si>
    <t>045-17-000042</t>
  </si>
  <si>
    <t>Dovelopement of Footpath of 8th Main, From 8th Cross to YPR Circle in ward 45</t>
  </si>
  <si>
    <t>045-17-000043</t>
  </si>
  <si>
    <t>Providing asphalting and improvements to footpath in 4th cross, Gokula, 1st stage, 2nd phase and surrounding area in Ward 45</t>
  </si>
  <si>
    <t>045-17-000048</t>
  </si>
  <si>
    <t>Providing asphalting and improvements to footpath in 3rd and 4th cross, KN Extension and surrounding area in Ward 45</t>
  </si>
  <si>
    <t>Sri Venkatachalapathi</t>
  </si>
  <si>
    <t>045-17-000046</t>
  </si>
  <si>
    <t>Providing asphalting and improvements to footpath in 5th and 6th Main, Gokula, 1st stage, 2nd phase and surrounding area in Ward 45</t>
  </si>
  <si>
    <t>045-17-000050</t>
  </si>
  <si>
    <t>Providing asphalting to 2nd main road in KN Extension and surrounding area in Ward 45</t>
  </si>
  <si>
    <t>045-17-000044</t>
  </si>
  <si>
    <t>Providing asphalting and improvements to footpath in 6th cross, Gokula, 1st stage, 2nd phase and surrounding area in Ward 45</t>
  </si>
  <si>
    <t>Sri Venkatachalapathi S/o D Muni Venkatappa</t>
  </si>
  <si>
    <t>045-17-000038</t>
  </si>
  <si>
    <t xml:space="preserve"> Providing concreting to 4TH,4A,4B,4C,5TH,6A,6B, Cross Road K.N.Extn., and Surrounding area from Subedarpalya 6th Cross To Kali Temple road to in ward no.45 </t>
  </si>
  <si>
    <t>045-17-000047</t>
  </si>
  <si>
    <t>Providing asphalting and improvements to footpath in 1st and 2nd cross, KN Extension and surrounding area in Ward 45</t>
  </si>
  <si>
    <t>045-16-000020</t>
  </si>
  <si>
    <t>Asphalting to bad roads in ward no45 malleswaram</t>
  </si>
  <si>
    <t>M/s Sai Trisha infraengineers Pvt ltd</t>
  </si>
  <si>
    <t>P3106</t>
  </si>
  <si>
    <t>Nagarothana Works</t>
  </si>
  <si>
    <t>045-16-000021</t>
  </si>
  <si>
    <t>AMC of llft No 1 in Yeshwanthapura shopping complex in ward no-45</t>
  </si>
  <si>
    <t>Chethan Electricals</t>
  </si>
  <si>
    <t>P0303</t>
  </si>
  <si>
    <t>M and R to Pumpsets, Lifts, DG Sets, Wireless sets and Internal Telephone Exchange</t>
  </si>
  <si>
    <t>Spill Over</t>
  </si>
  <si>
    <t>045-16-000022</t>
  </si>
  <si>
    <t>AMC of lift No 2 in Yeshwanthapura shopping complex in ward no-45</t>
  </si>
  <si>
    <t>September</t>
  </si>
  <si>
    <t>045-17-000024</t>
  </si>
  <si>
    <t>Construction of Toilet block at Subedarpalya Govt. school Premisess ward no 45</t>
  </si>
  <si>
    <t>Health &amp; Sanitation</t>
  </si>
  <si>
    <t xml:space="preserve">Executive Engineer-2  M/s KRIDL BBMP(West)  </t>
  </si>
  <si>
    <t>P3111</t>
  </si>
  <si>
    <t>State Finance Commission Untied Grant Works</t>
  </si>
  <si>
    <t>Education</t>
  </si>
  <si>
    <t>October</t>
  </si>
  <si>
    <t>045-17-000058</t>
  </si>
  <si>
    <t>Providing CC Camera at Garbage Block Spots in ward no 45</t>
  </si>
  <si>
    <t>Crime &amp; Safety</t>
  </si>
  <si>
    <t>NISCHAL KL</t>
  </si>
  <si>
    <t>P3110</t>
  </si>
  <si>
    <t>14th Finance Commission Grant Works</t>
  </si>
  <si>
    <t>November</t>
  </si>
  <si>
    <t>045-18-000015</t>
  </si>
  <si>
    <t>Providing Ro plant at Karimandi slum in ward no-45</t>
  </si>
  <si>
    <t>Drinking Water</t>
  </si>
  <si>
    <t xml:space="preserve">Executive Engineer-2  M/s KRIDL BBMP(West)   </t>
  </si>
  <si>
    <t>P1878</t>
  </si>
  <si>
    <t>18per - Works (Bhagyajyothi, Sooru / Neeru Yojane and General) (54 Lakhs / New Wards)</t>
  </si>
  <si>
    <t>045-18-000014</t>
  </si>
  <si>
    <t>Providing Ro plant at Shariff slum in ward no-45</t>
  </si>
  <si>
    <t xml:space="preserve">Executive Engineer-2 KRIDL BBMP (West) </t>
  </si>
  <si>
    <t>045-18-000012</t>
  </si>
  <si>
    <t>Providing Ro plant at Vinayaka slum in ward no-45</t>
  </si>
  <si>
    <t xml:space="preserve">Executive Engineer-2  M/s KRIDL BBMP(West) </t>
  </si>
  <si>
    <t>045-18-000018</t>
  </si>
  <si>
    <t>Providing Ro plant at K N extn in ward no-45</t>
  </si>
  <si>
    <t>045-18-000016</t>
  </si>
  <si>
    <t>Providing Ro plant at Subedarpalya colony slum in ward no-45</t>
  </si>
  <si>
    <t>045-18-000045</t>
  </si>
  <si>
    <t xml:space="preserve">Clearing of Indira Canteen site at (Mysore Lamps Premises) Ward no 45 </t>
  </si>
  <si>
    <t>Indira Canteen</t>
  </si>
  <si>
    <t>December</t>
  </si>
  <si>
    <t>045-15-000008</t>
  </si>
  <si>
    <t xml:space="preserve">Improvements to drain and footpath in 2nd main from 6th cross to 9th cross K.N. Extn., in ward no.45 (Western side) </t>
  </si>
  <si>
    <t>045-15-000011</t>
  </si>
  <si>
    <t xml:space="preserve">Improvements works at Malleshwaram area Ward no.45 </t>
  </si>
  <si>
    <t>K G PRAKASH</t>
  </si>
  <si>
    <t>045-18-000011</t>
  </si>
  <si>
    <t>Drilling of Borewell and providing mini water supply at in ward no45 malleswaram supply at ward no 45 5 nos 5.00 Lakhs each</t>
  </si>
  <si>
    <t>045-13-000048</t>
  </si>
  <si>
    <t>Filling of Potholes and Providing Asphalting to bad reaches at Arterial and sub arterial road in W-45 Malleswaram</t>
  </si>
  <si>
    <t>P2019</t>
  </si>
  <si>
    <t>Major Road / Arterial / Sub Arterial Road Major Road Division</t>
  </si>
  <si>
    <t>045-13-000039</t>
  </si>
  <si>
    <t>Providing Electrical maintenance of Yeswanthpura shopping complex in ward no 45</t>
  </si>
  <si>
    <t>S.M.S.Electricals</t>
  </si>
  <si>
    <t>P0294</t>
  </si>
  <si>
    <t>M and R to Electrical Inst in BMP Buildings, Schools, M.Homes, Community Halls, Markets and Others</t>
  </si>
  <si>
    <t>045-17-000006</t>
  </si>
  <si>
    <t>Emergency works in ward no.45</t>
  </si>
  <si>
    <t>Jagadeesh L</t>
  </si>
  <si>
    <t>January</t>
  </si>
  <si>
    <t>045-17-000056</t>
  </si>
  <si>
    <t>Engagement of Gangman and Hiring of Tractor Tippers for cleaning and Maintenance of road side drains and other cleaning works in works in ward no 45</t>
  </si>
  <si>
    <t>Sri. V. Sreedhara</t>
  </si>
  <si>
    <t>February</t>
  </si>
  <si>
    <t>045-17-000060</t>
  </si>
  <si>
    <t>Upgradation of Street lights at K N extension and Nanjappa Reddy Colony in ward no 45</t>
  </si>
  <si>
    <t>The Technical Manager KRIDL</t>
  </si>
  <si>
    <t>045-17-000059</t>
  </si>
  <si>
    <t>Upgradation of Street lights at Malleshwaram and Yeshwanthapur Circle in ward no 45</t>
  </si>
  <si>
    <t xml:space="preserve">The Technical Manager KRIDL </t>
  </si>
  <si>
    <t>045-17-000061</t>
  </si>
  <si>
    <t>Upgradation of Street lights at Subedhara Palya surroundings areas in ward no 45</t>
  </si>
  <si>
    <t>The Technical Maganer</t>
  </si>
  <si>
    <t>045-16-000001</t>
  </si>
  <si>
    <t>Providing Water supply and Electricity to Existing Dry Waste Collection Center at Yeshwanthapur in Ward no 45 Malleshwaram</t>
  </si>
  <si>
    <t>Sri Venkatakrishna</t>
  </si>
  <si>
    <t>P1862</t>
  </si>
  <si>
    <t>Establishment of Primary collection centres</t>
  </si>
  <si>
    <t>March</t>
  </si>
  <si>
    <t>Public Amenities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</si>
</sst>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tabSelected="1" workbookViewId="0">
      <pane ySplit="1" topLeftCell="A2" activePane="bottomLeft" state="frozen"/>
      <selection activeCell="H1" sqref="H1"/>
      <selection pane="bottomLeft" activeCell="C10" sqref="C10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2003</v>
      </c>
      <c r="B2" s="9" t="s">
        <v>33</v>
      </c>
      <c r="C2" s="10">
        <v>43262</v>
      </c>
      <c r="D2" s="11">
        <v>45</v>
      </c>
      <c r="E2" s="12" t="s">
        <v>34</v>
      </c>
      <c r="F2" s="12" t="s">
        <v>35</v>
      </c>
      <c r="G2" s="12" t="s">
        <v>34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"000019"</f>
        <v>000019</v>
      </c>
      <c r="M2" s="10">
        <v>42870</v>
      </c>
      <c r="N2" s="11" t="str">
        <f>"000006"</f>
        <v>000006</v>
      </c>
      <c r="O2" s="10">
        <v>42886</v>
      </c>
      <c r="P2" s="11" t="str">
        <f>"000035"</f>
        <v>000035</v>
      </c>
      <c r="Q2" s="10">
        <v>42886</v>
      </c>
      <c r="R2" s="11">
        <v>17</v>
      </c>
      <c r="S2" s="11" t="str">
        <f>"002201"</f>
        <v>002201</v>
      </c>
      <c r="T2" s="10">
        <v>43257</v>
      </c>
      <c r="U2" s="14">
        <v>24.400659999999998</v>
      </c>
      <c r="V2" s="14">
        <v>1.8548899999999999</v>
      </c>
      <c r="W2" s="14">
        <v>22.545770000000001</v>
      </c>
      <c r="X2" s="11">
        <v>79</v>
      </c>
      <c r="Y2" s="10">
        <v>43262</v>
      </c>
      <c r="Z2" s="11">
        <v>9448274200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0.24400659999999999</v>
      </c>
      <c r="AG2" s="11" t="s">
        <v>45</v>
      </c>
    </row>
    <row r="3" spans="1:33" x14ac:dyDescent="0.2">
      <c r="A3" s="8">
        <v>2256</v>
      </c>
      <c r="B3" s="9" t="s">
        <v>33</v>
      </c>
      <c r="C3" s="10">
        <v>43269</v>
      </c>
      <c r="D3" s="11">
        <v>45</v>
      </c>
      <c r="E3" s="12" t="s">
        <v>34</v>
      </c>
      <c r="F3" s="12" t="s">
        <v>35</v>
      </c>
      <c r="G3" s="12" t="s">
        <v>34</v>
      </c>
      <c r="H3" s="12" t="s">
        <v>36</v>
      </c>
      <c r="I3" s="11" t="s">
        <v>46</v>
      </c>
      <c r="J3" s="12" t="s">
        <v>47</v>
      </c>
      <c r="K3" s="13" t="s">
        <v>48</v>
      </c>
      <c r="L3" s="11" t="str">
        <f>"000075"</f>
        <v>000075</v>
      </c>
      <c r="M3" s="10">
        <v>42038</v>
      </c>
      <c r="N3" s="11" t="str">
        <f>"000123"</f>
        <v>000123</v>
      </c>
      <c r="O3" s="10">
        <v>42612</v>
      </c>
      <c r="P3" s="11" t="str">
        <f>"000372"</f>
        <v>000372</v>
      </c>
      <c r="Q3" s="10">
        <v>42642</v>
      </c>
      <c r="R3" s="11">
        <v>15</v>
      </c>
      <c r="S3" s="11" t="str">
        <f>"002574"</f>
        <v>002574</v>
      </c>
      <c r="T3" s="10">
        <v>43265</v>
      </c>
      <c r="U3" s="14">
        <v>15.291829999999999</v>
      </c>
      <c r="V3" s="14">
        <v>1.3138300000000001</v>
      </c>
      <c r="W3" s="14">
        <v>13.978</v>
      </c>
      <c r="X3" s="11">
        <v>90</v>
      </c>
      <c r="Y3" s="10">
        <v>43269</v>
      </c>
      <c r="Z3" s="11">
        <v>8022975610</v>
      </c>
      <c r="AA3" s="12" t="s">
        <v>49</v>
      </c>
      <c r="AB3" s="11" t="s">
        <v>41</v>
      </c>
      <c r="AC3" s="12" t="s">
        <v>42</v>
      </c>
      <c r="AD3" s="11" t="s">
        <v>43</v>
      </c>
      <c r="AE3" s="12" t="s">
        <v>44</v>
      </c>
      <c r="AF3" s="14">
        <v>0.15291829999999998</v>
      </c>
      <c r="AG3" s="11" t="s">
        <v>45</v>
      </c>
    </row>
    <row r="4" spans="1:33" x14ac:dyDescent="0.2">
      <c r="A4" s="8">
        <v>2257</v>
      </c>
      <c r="B4" s="9" t="s">
        <v>33</v>
      </c>
      <c r="C4" s="10">
        <v>43269</v>
      </c>
      <c r="D4" s="11">
        <v>45</v>
      </c>
      <c r="E4" s="12" t="s">
        <v>34</v>
      </c>
      <c r="F4" s="12" t="s">
        <v>35</v>
      </c>
      <c r="G4" s="12" t="s">
        <v>34</v>
      </c>
      <c r="H4" s="12" t="s">
        <v>36</v>
      </c>
      <c r="I4" s="11" t="s">
        <v>50</v>
      </c>
      <c r="J4" s="12" t="s">
        <v>51</v>
      </c>
      <c r="K4" s="13" t="s">
        <v>39</v>
      </c>
      <c r="L4" s="11" t="str">
        <f>"000052"</f>
        <v>000052</v>
      </c>
      <c r="M4" s="10">
        <v>42625</v>
      </c>
      <c r="N4" s="11" t="str">
        <f>"000126"</f>
        <v>000126</v>
      </c>
      <c r="O4" s="10">
        <v>42632</v>
      </c>
      <c r="P4" s="11" t="str">
        <f>"000373"</f>
        <v>000373</v>
      </c>
      <c r="Q4" s="10">
        <v>42642</v>
      </c>
      <c r="R4" s="11">
        <v>17</v>
      </c>
      <c r="S4" s="11" t="str">
        <f>"002575"</f>
        <v>002575</v>
      </c>
      <c r="T4" s="10">
        <v>43265</v>
      </c>
      <c r="U4" s="14">
        <v>10.891590000000001</v>
      </c>
      <c r="V4" s="14">
        <v>1.4315899999999999</v>
      </c>
      <c r="W4" s="14">
        <v>9.4600000000000009</v>
      </c>
      <c r="X4" s="11">
        <v>90</v>
      </c>
      <c r="Y4" s="10">
        <v>43269</v>
      </c>
      <c r="Z4" s="11">
        <v>8022975610</v>
      </c>
      <c r="AA4" s="12" t="s">
        <v>52</v>
      </c>
      <c r="AB4" s="11" t="s">
        <v>53</v>
      </c>
      <c r="AC4" s="12" t="s">
        <v>54</v>
      </c>
      <c r="AD4" s="11" t="s">
        <v>43</v>
      </c>
      <c r="AE4" s="12" t="s">
        <v>44</v>
      </c>
      <c r="AF4" s="14">
        <v>0.10891590000000001</v>
      </c>
      <c r="AG4" s="11" t="s">
        <v>45</v>
      </c>
    </row>
    <row r="5" spans="1:33" x14ac:dyDescent="0.2">
      <c r="A5" s="8">
        <v>2258</v>
      </c>
      <c r="B5" s="9" t="s">
        <v>33</v>
      </c>
      <c r="C5" s="10">
        <v>43269</v>
      </c>
      <c r="D5" s="11">
        <v>45</v>
      </c>
      <c r="E5" s="12" t="s">
        <v>34</v>
      </c>
      <c r="F5" s="12" t="s">
        <v>35</v>
      </c>
      <c r="G5" s="12" t="s">
        <v>34</v>
      </c>
      <c r="H5" s="12" t="s">
        <v>36</v>
      </c>
      <c r="I5" s="11" t="s">
        <v>55</v>
      </c>
      <c r="J5" s="12" t="s">
        <v>56</v>
      </c>
      <c r="K5" s="13" t="s">
        <v>39</v>
      </c>
      <c r="L5" s="11" t="str">
        <f>"000064"</f>
        <v>000064</v>
      </c>
      <c r="M5" s="10">
        <v>42420</v>
      </c>
      <c r="N5" s="11" t="str">
        <f>"000148"</f>
        <v>000148</v>
      </c>
      <c r="O5" s="10">
        <v>42766</v>
      </c>
      <c r="P5" s="11" t="str">
        <f>"000508"</f>
        <v>000508</v>
      </c>
      <c r="Q5" s="10">
        <v>42766</v>
      </c>
      <c r="R5" s="11">
        <v>16</v>
      </c>
      <c r="S5" s="11" t="str">
        <f>"002500"</f>
        <v>002500</v>
      </c>
      <c r="T5" s="10">
        <v>43264</v>
      </c>
      <c r="U5" s="14">
        <v>10.996560000000001</v>
      </c>
      <c r="V5" s="14">
        <v>0.78083000000000002</v>
      </c>
      <c r="W5" s="14">
        <v>10.215730000000001</v>
      </c>
      <c r="X5" s="11">
        <v>91</v>
      </c>
      <c r="Y5" s="10">
        <v>43269</v>
      </c>
      <c r="Z5" s="11">
        <v>8022975610</v>
      </c>
      <c r="AA5" s="12" t="s">
        <v>57</v>
      </c>
      <c r="AB5" s="11" t="s">
        <v>41</v>
      </c>
      <c r="AC5" s="12" t="s">
        <v>42</v>
      </c>
      <c r="AD5" s="11" t="s">
        <v>43</v>
      </c>
      <c r="AE5" s="12" t="s">
        <v>44</v>
      </c>
      <c r="AF5" s="14">
        <v>0.10996560000000001</v>
      </c>
      <c r="AG5" s="11" t="s">
        <v>45</v>
      </c>
    </row>
    <row r="6" spans="1:33" x14ac:dyDescent="0.2">
      <c r="A6" s="8">
        <v>2259</v>
      </c>
      <c r="B6" s="9" t="s">
        <v>33</v>
      </c>
      <c r="C6" s="10">
        <v>43269</v>
      </c>
      <c r="D6" s="11">
        <v>45</v>
      </c>
      <c r="E6" s="12" t="s">
        <v>34</v>
      </c>
      <c r="F6" s="12" t="s">
        <v>35</v>
      </c>
      <c r="G6" s="12" t="s">
        <v>34</v>
      </c>
      <c r="H6" s="12" t="s">
        <v>36</v>
      </c>
      <c r="I6" s="11" t="s">
        <v>58</v>
      </c>
      <c r="J6" s="12" t="s">
        <v>59</v>
      </c>
      <c r="K6" s="13" t="s">
        <v>39</v>
      </c>
      <c r="L6" s="11" t="str">
        <f>"000068"</f>
        <v>000068</v>
      </c>
      <c r="M6" s="10">
        <v>42422</v>
      </c>
      <c r="N6" s="11" t="str">
        <f>"000181"</f>
        <v>000181</v>
      </c>
      <c r="O6" s="10">
        <v>42794</v>
      </c>
      <c r="P6" s="11" t="str">
        <f>"000614"</f>
        <v>000614</v>
      </c>
      <c r="Q6" s="10">
        <v>42794</v>
      </c>
      <c r="R6" s="11">
        <v>16</v>
      </c>
      <c r="S6" s="11" t="str">
        <f>"002509"</f>
        <v>002509</v>
      </c>
      <c r="T6" s="10">
        <v>43264</v>
      </c>
      <c r="U6" s="14">
        <v>11.199780000000001</v>
      </c>
      <c r="V6" s="14">
        <v>0.79520000000000002</v>
      </c>
      <c r="W6" s="14">
        <v>10.404579999999999</v>
      </c>
      <c r="X6" s="11">
        <v>91</v>
      </c>
      <c r="Y6" s="10">
        <v>43269</v>
      </c>
      <c r="Z6" s="11">
        <v>8022975610</v>
      </c>
      <c r="AA6" s="12" t="s">
        <v>60</v>
      </c>
      <c r="AB6" s="11" t="s">
        <v>41</v>
      </c>
      <c r="AC6" s="12" t="s">
        <v>42</v>
      </c>
      <c r="AD6" s="11" t="s">
        <v>43</v>
      </c>
      <c r="AE6" s="12" t="s">
        <v>44</v>
      </c>
      <c r="AF6" s="14">
        <v>0.11199780000000001</v>
      </c>
      <c r="AG6" s="11" t="s">
        <v>45</v>
      </c>
    </row>
    <row r="7" spans="1:33" x14ac:dyDescent="0.2">
      <c r="A7" s="8">
        <v>2510</v>
      </c>
      <c r="B7" s="9" t="s">
        <v>33</v>
      </c>
      <c r="C7" s="10">
        <v>43274</v>
      </c>
      <c r="D7" s="11">
        <v>45</v>
      </c>
      <c r="E7" s="12" t="s">
        <v>34</v>
      </c>
      <c r="F7" s="12" t="s">
        <v>35</v>
      </c>
      <c r="G7" s="12" t="s">
        <v>34</v>
      </c>
      <c r="H7" s="12" t="s">
        <v>36</v>
      </c>
      <c r="I7" s="11" t="s">
        <v>61</v>
      </c>
      <c r="J7" s="12" t="s">
        <v>62</v>
      </c>
      <c r="K7" s="13" t="s">
        <v>63</v>
      </c>
      <c r="L7" s="11" t="str">
        <f>"000066"</f>
        <v>000066</v>
      </c>
      <c r="M7" s="10">
        <v>42420</v>
      </c>
      <c r="N7" s="11" t="str">
        <f>"000124"</f>
        <v>000124</v>
      </c>
      <c r="O7" s="10">
        <v>42627</v>
      </c>
      <c r="P7" s="11" t="str">
        <f>"000364"</f>
        <v>000364</v>
      </c>
      <c r="Q7" s="10">
        <v>42642</v>
      </c>
      <c r="R7" s="11">
        <v>16</v>
      </c>
      <c r="S7" s="11" t="str">
        <f>"002635"</f>
        <v>002635</v>
      </c>
      <c r="T7" s="10">
        <v>43269</v>
      </c>
      <c r="U7" s="14">
        <v>17.796939999999999</v>
      </c>
      <c r="V7" s="14">
        <v>1.33694</v>
      </c>
      <c r="W7" s="14">
        <v>16.46</v>
      </c>
      <c r="X7" s="11">
        <v>99</v>
      </c>
      <c r="Y7" s="10">
        <v>43274</v>
      </c>
      <c r="Z7" s="11">
        <v>8022975610</v>
      </c>
      <c r="AA7" s="12" t="s">
        <v>64</v>
      </c>
      <c r="AB7" s="11" t="s">
        <v>41</v>
      </c>
      <c r="AC7" s="12" t="s">
        <v>42</v>
      </c>
      <c r="AD7" s="11" t="s">
        <v>43</v>
      </c>
      <c r="AE7" s="12" t="s">
        <v>44</v>
      </c>
      <c r="AF7" s="14">
        <v>0.1779694</v>
      </c>
      <c r="AG7" s="11" t="s">
        <v>45</v>
      </c>
    </row>
    <row r="8" spans="1:33" x14ac:dyDescent="0.2">
      <c r="A8" s="8">
        <v>2822</v>
      </c>
      <c r="B8" s="9" t="s">
        <v>65</v>
      </c>
      <c r="C8" s="10">
        <v>43283</v>
      </c>
      <c r="D8" s="11">
        <v>45</v>
      </c>
      <c r="E8" s="12" t="s">
        <v>34</v>
      </c>
      <c r="F8" s="12" t="s">
        <v>35</v>
      </c>
      <c r="G8" s="12" t="s">
        <v>34</v>
      </c>
      <c r="H8" s="12" t="s">
        <v>36</v>
      </c>
      <c r="I8" s="11" t="s">
        <v>66</v>
      </c>
      <c r="J8" s="12" t="s">
        <v>67</v>
      </c>
      <c r="K8" s="13" t="s">
        <v>39</v>
      </c>
      <c r="L8" s="11" t="str">
        <f>"000006"</f>
        <v>000006</v>
      </c>
      <c r="M8" s="10">
        <v>42042</v>
      </c>
      <c r="N8" s="11" t="str">
        <f>"000154"</f>
        <v>000154</v>
      </c>
      <c r="O8" s="10">
        <v>42824</v>
      </c>
      <c r="P8" s="11" t="str">
        <f>"000147"</f>
        <v>000147</v>
      </c>
      <c r="Q8" s="10">
        <v>42825</v>
      </c>
      <c r="R8" s="11">
        <v>14</v>
      </c>
      <c r="S8" s="11" t="str">
        <f>"003186"</f>
        <v>003186</v>
      </c>
      <c r="T8" s="10">
        <v>43280</v>
      </c>
      <c r="U8" s="14">
        <v>4.3898799999999998</v>
      </c>
      <c r="V8" s="14">
        <v>0.48727999999999999</v>
      </c>
      <c r="W8" s="14">
        <v>3.9026000000000001</v>
      </c>
      <c r="X8" s="11">
        <v>107</v>
      </c>
      <c r="Y8" s="10">
        <v>43283</v>
      </c>
      <c r="Z8" s="11">
        <v>9845028498</v>
      </c>
      <c r="AA8" s="12" t="s">
        <v>68</v>
      </c>
      <c r="AB8" s="11" t="s">
        <v>69</v>
      </c>
      <c r="AC8" s="12" t="s">
        <v>70</v>
      </c>
      <c r="AD8" s="11" t="s">
        <v>71</v>
      </c>
      <c r="AE8" s="12" t="s">
        <v>72</v>
      </c>
      <c r="AF8" s="14">
        <v>4.3898799999999995E-2</v>
      </c>
      <c r="AG8" s="11" t="s">
        <v>45</v>
      </c>
    </row>
    <row r="9" spans="1:33" x14ac:dyDescent="0.2">
      <c r="A9" s="8">
        <v>3050</v>
      </c>
      <c r="B9" s="9" t="s">
        <v>65</v>
      </c>
      <c r="C9" s="10">
        <v>43287</v>
      </c>
      <c r="D9" s="11">
        <v>45</v>
      </c>
      <c r="E9" s="12" t="s">
        <v>34</v>
      </c>
      <c r="F9" s="12" t="s">
        <v>35</v>
      </c>
      <c r="G9" s="12" t="s">
        <v>34</v>
      </c>
      <c r="H9" s="12" t="s">
        <v>36</v>
      </c>
      <c r="I9" s="11" t="s">
        <v>73</v>
      </c>
      <c r="J9" s="12" t="s">
        <v>74</v>
      </c>
      <c r="K9" s="13" t="s">
        <v>63</v>
      </c>
      <c r="L9" s="11" t="str">
        <f>"000065"</f>
        <v>000065</v>
      </c>
      <c r="M9" s="10">
        <v>42420</v>
      </c>
      <c r="N9" s="11" t="str">
        <f>"000125"</f>
        <v>000125</v>
      </c>
      <c r="O9" s="10">
        <v>42628</v>
      </c>
      <c r="P9" s="11" t="str">
        <f>"000365"</f>
        <v>000365</v>
      </c>
      <c r="Q9" s="10">
        <v>42642</v>
      </c>
      <c r="R9" s="11">
        <v>16</v>
      </c>
      <c r="S9" s="11" t="str">
        <f>"003233"</f>
        <v>003233</v>
      </c>
      <c r="T9" s="10">
        <v>43283</v>
      </c>
      <c r="U9" s="14">
        <v>14.03858</v>
      </c>
      <c r="V9" s="14">
        <v>1.1585799999999999</v>
      </c>
      <c r="W9" s="14">
        <v>12.88</v>
      </c>
      <c r="X9" s="11">
        <v>113</v>
      </c>
      <c r="Y9" s="10">
        <v>43287</v>
      </c>
      <c r="Z9" s="11">
        <v>8022975610</v>
      </c>
      <c r="AA9" s="12" t="s">
        <v>75</v>
      </c>
      <c r="AB9" s="11" t="s">
        <v>41</v>
      </c>
      <c r="AC9" s="12" t="s">
        <v>42</v>
      </c>
      <c r="AD9" s="11" t="s">
        <v>43</v>
      </c>
      <c r="AE9" s="12" t="s">
        <v>44</v>
      </c>
      <c r="AF9" s="14">
        <v>0.14038580000000001</v>
      </c>
      <c r="AG9" s="11" t="s">
        <v>45</v>
      </c>
    </row>
    <row r="10" spans="1:33" x14ac:dyDescent="0.2">
      <c r="A10" s="8">
        <v>3051</v>
      </c>
      <c r="B10" s="9" t="s">
        <v>65</v>
      </c>
      <c r="C10" s="10">
        <v>43287</v>
      </c>
      <c r="D10" s="11">
        <v>45</v>
      </c>
      <c r="E10" s="12" t="s">
        <v>34</v>
      </c>
      <c r="F10" s="12" t="s">
        <v>35</v>
      </c>
      <c r="G10" s="12" t="s">
        <v>34</v>
      </c>
      <c r="H10" s="12" t="s">
        <v>36</v>
      </c>
      <c r="I10" s="11" t="s">
        <v>76</v>
      </c>
      <c r="J10" s="12" t="s">
        <v>77</v>
      </c>
      <c r="K10" s="13" t="s">
        <v>39</v>
      </c>
      <c r="L10" s="11" t="str">
        <f>"000006"</f>
        <v>000006</v>
      </c>
      <c r="M10" s="10">
        <v>42488</v>
      </c>
      <c r="N10" s="11" t="str">
        <f>"000131"</f>
        <v>000131</v>
      </c>
      <c r="O10" s="10">
        <v>42632</v>
      </c>
      <c r="P10" s="11" t="str">
        <f>"000423"</f>
        <v>000423</v>
      </c>
      <c r="Q10" s="10">
        <v>42703</v>
      </c>
      <c r="R10" s="11">
        <v>16</v>
      </c>
      <c r="S10" s="11" t="str">
        <f>"003242"</f>
        <v>003242</v>
      </c>
      <c r="T10" s="10">
        <v>43283</v>
      </c>
      <c r="U10" s="14">
        <v>4.5363800000000003</v>
      </c>
      <c r="V10" s="14">
        <v>0.38638</v>
      </c>
      <c r="W10" s="14">
        <v>4.1500000000000004</v>
      </c>
      <c r="X10" s="11">
        <v>113</v>
      </c>
      <c r="Y10" s="10">
        <v>43287</v>
      </c>
      <c r="Z10" s="11">
        <v>8022975610</v>
      </c>
      <c r="AA10" s="12" t="s">
        <v>78</v>
      </c>
      <c r="AB10" s="11" t="s">
        <v>41</v>
      </c>
      <c r="AC10" s="12" t="s">
        <v>42</v>
      </c>
      <c r="AD10" s="11" t="s">
        <v>43</v>
      </c>
      <c r="AE10" s="12" t="s">
        <v>44</v>
      </c>
      <c r="AF10" s="14">
        <v>4.5363800000000003E-2</v>
      </c>
      <c r="AG10" s="11" t="s">
        <v>45</v>
      </c>
    </row>
    <row r="11" spans="1:33" x14ac:dyDescent="0.2">
      <c r="A11" s="8">
        <v>3280</v>
      </c>
      <c r="B11" s="9" t="s">
        <v>65</v>
      </c>
      <c r="C11" s="10">
        <v>43297</v>
      </c>
      <c r="D11" s="11">
        <v>45</v>
      </c>
      <c r="E11" s="12" t="s">
        <v>34</v>
      </c>
      <c r="F11" s="12" t="s">
        <v>35</v>
      </c>
      <c r="G11" s="12" t="s">
        <v>34</v>
      </c>
      <c r="H11" s="12" t="s">
        <v>36</v>
      </c>
      <c r="I11" s="11" t="s">
        <v>79</v>
      </c>
      <c r="J11" s="12" t="s">
        <v>80</v>
      </c>
      <c r="K11" s="13" t="s">
        <v>39</v>
      </c>
      <c r="L11" s="11" t="str">
        <f>"000079"</f>
        <v>000079</v>
      </c>
      <c r="M11" s="10">
        <v>42429</v>
      </c>
      <c r="N11" s="11" t="str">
        <f>"000147"</f>
        <v>000147</v>
      </c>
      <c r="O11" s="10">
        <v>42734</v>
      </c>
      <c r="P11" s="11" t="str">
        <f>"000449"</f>
        <v>000449</v>
      </c>
      <c r="Q11" s="10">
        <v>42734</v>
      </c>
      <c r="R11" s="11">
        <v>16</v>
      </c>
      <c r="S11" s="11" t="str">
        <f>"003533"</f>
        <v>003533</v>
      </c>
      <c r="T11" s="10">
        <v>43291</v>
      </c>
      <c r="U11" s="14">
        <v>4.5732799999999996</v>
      </c>
      <c r="V11" s="14">
        <v>0.39939999999999998</v>
      </c>
      <c r="W11" s="14">
        <v>4.1738799999999996</v>
      </c>
      <c r="X11" s="11">
        <v>125</v>
      </c>
      <c r="Y11" s="10">
        <v>43297</v>
      </c>
      <c r="Z11" s="11">
        <v>8022975610</v>
      </c>
      <c r="AA11" s="12" t="s">
        <v>81</v>
      </c>
      <c r="AB11" s="11" t="s">
        <v>41</v>
      </c>
      <c r="AC11" s="12" t="s">
        <v>42</v>
      </c>
      <c r="AD11" s="11" t="s">
        <v>43</v>
      </c>
      <c r="AE11" s="12" t="s">
        <v>44</v>
      </c>
      <c r="AF11" s="14">
        <v>4.5732799999999997E-2</v>
      </c>
      <c r="AG11" s="11" t="s">
        <v>45</v>
      </c>
    </row>
    <row r="12" spans="1:33" x14ac:dyDescent="0.2">
      <c r="A12" s="8">
        <v>3470</v>
      </c>
      <c r="B12" s="9" t="s">
        <v>65</v>
      </c>
      <c r="C12" s="10">
        <v>43299</v>
      </c>
      <c r="D12" s="11">
        <v>45</v>
      </c>
      <c r="E12" s="12" t="s">
        <v>34</v>
      </c>
      <c r="F12" s="12" t="s">
        <v>35</v>
      </c>
      <c r="G12" s="12" t="s">
        <v>34</v>
      </c>
      <c r="H12" s="12" t="s">
        <v>36</v>
      </c>
      <c r="I12" s="11" t="s">
        <v>82</v>
      </c>
      <c r="J12" s="12" t="s">
        <v>83</v>
      </c>
      <c r="K12" s="13" t="s">
        <v>84</v>
      </c>
      <c r="L12" s="11" t="str">
        <f>"000131"</f>
        <v>000131</v>
      </c>
      <c r="M12" s="10">
        <v>42814</v>
      </c>
      <c r="N12" s="11" t="str">
        <f>"000028"</f>
        <v>000028</v>
      </c>
      <c r="O12" s="10">
        <v>42886</v>
      </c>
      <c r="P12" s="11" t="str">
        <f>"000068"</f>
        <v>000068</v>
      </c>
      <c r="Q12" s="10">
        <v>42886</v>
      </c>
      <c r="R12" s="11">
        <v>17</v>
      </c>
      <c r="S12" s="11" t="str">
        <f>"003799"</f>
        <v>003799</v>
      </c>
      <c r="T12" s="10">
        <v>43294</v>
      </c>
      <c r="U12" s="14">
        <v>2.9472499999999999</v>
      </c>
      <c r="V12" s="14">
        <v>0.23139999999999999</v>
      </c>
      <c r="W12" s="14">
        <v>2.7158500000000001</v>
      </c>
      <c r="X12" s="11">
        <v>129</v>
      </c>
      <c r="Y12" s="10">
        <v>43299</v>
      </c>
      <c r="Z12" s="11">
        <v>8022975610</v>
      </c>
      <c r="AA12" s="12" t="s">
        <v>85</v>
      </c>
      <c r="AB12" s="11" t="s">
        <v>41</v>
      </c>
      <c r="AC12" s="12" t="s">
        <v>42</v>
      </c>
      <c r="AD12" s="11" t="s">
        <v>43</v>
      </c>
      <c r="AE12" s="12" t="s">
        <v>44</v>
      </c>
      <c r="AF12" s="14">
        <v>2.9472499999999999E-2</v>
      </c>
      <c r="AG12" s="11" t="s">
        <v>45</v>
      </c>
    </row>
    <row r="13" spans="1:33" x14ac:dyDescent="0.2">
      <c r="A13" s="8">
        <v>3718</v>
      </c>
      <c r="B13" s="9" t="s">
        <v>65</v>
      </c>
      <c r="C13" s="10">
        <v>43301</v>
      </c>
      <c r="D13" s="11">
        <v>45</v>
      </c>
      <c r="E13" s="12" t="s">
        <v>34</v>
      </c>
      <c r="F13" s="12" t="s">
        <v>35</v>
      </c>
      <c r="G13" s="12" t="s">
        <v>34</v>
      </c>
      <c r="H13" s="12" t="s">
        <v>36</v>
      </c>
      <c r="I13" s="11" t="s">
        <v>86</v>
      </c>
      <c r="J13" s="12" t="s">
        <v>87</v>
      </c>
      <c r="K13" s="13" t="s">
        <v>48</v>
      </c>
      <c r="L13" s="11" t="str">
        <f>"000030"</f>
        <v>000030</v>
      </c>
      <c r="M13" s="10">
        <v>42943</v>
      </c>
      <c r="N13" s="11" t="str">
        <f>"000113"</f>
        <v>000113</v>
      </c>
      <c r="O13" s="10">
        <v>43174</v>
      </c>
      <c r="P13" s="11" t="str">
        <f>"000141"</f>
        <v>000141</v>
      </c>
      <c r="Q13" s="10">
        <v>43174</v>
      </c>
      <c r="R13" s="11">
        <v>16</v>
      </c>
      <c r="S13" s="11" t="str">
        <f>"004040"</f>
        <v>004040</v>
      </c>
      <c r="T13" s="10">
        <v>43301</v>
      </c>
      <c r="U13" s="14">
        <v>11.68756</v>
      </c>
      <c r="V13" s="14">
        <v>1.18042</v>
      </c>
      <c r="W13" s="14">
        <v>10.50714</v>
      </c>
      <c r="X13" s="11">
        <v>134</v>
      </c>
      <c r="Y13" s="10">
        <v>43301</v>
      </c>
      <c r="Z13" s="11">
        <v>9845008155</v>
      </c>
      <c r="AA13" s="12" t="s">
        <v>88</v>
      </c>
      <c r="AB13" s="11" t="s">
        <v>89</v>
      </c>
      <c r="AC13" s="12" t="s">
        <v>90</v>
      </c>
      <c r="AD13" s="11" t="s">
        <v>91</v>
      </c>
      <c r="AE13" s="12" t="s">
        <v>92</v>
      </c>
      <c r="AF13" s="14">
        <v>0.1168756</v>
      </c>
      <c r="AG13" s="11" t="s">
        <v>45</v>
      </c>
    </row>
    <row r="14" spans="1:33" x14ac:dyDescent="0.2">
      <c r="A14" s="8">
        <v>3829</v>
      </c>
      <c r="B14" s="9" t="s">
        <v>65</v>
      </c>
      <c r="C14" s="10">
        <v>43304</v>
      </c>
      <c r="D14" s="11">
        <v>45</v>
      </c>
      <c r="E14" s="12" t="s">
        <v>34</v>
      </c>
      <c r="F14" s="12" t="s">
        <v>35</v>
      </c>
      <c r="G14" s="12" t="s">
        <v>34</v>
      </c>
      <c r="H14" s="12" t="s">
        <v>36</v>
      </c>
      <c r="I14" s="11" t="s">
        <v>93</v>
      </c>
      <c r="J14" s="12" t="s">
        <v>94</v>
      </c>
      <c r="K14" s="13" t="s">
        <v>63</v>
      </c>
      <c r="L14" s="11" t="str">
        <f>"000039"</f>
        <v>000039</v>
      </c>
      <c r="M14" s="10">
        <v>43230</v>
      </c>
      <c r="N14" s="11" t="str">
        <f>"000030"</f>
        <v>000030</v>
      </c>
      <c r="O14" s="10">
        <v>43245</v>
      </c>
      <c r="P14" s="11" t="str">
        <f>"000062"</f>
        <v>000062</v>
      </c>
      <c r="Q14" s="10">
        <v>43253</v>
      </c>
      <c r="R14" s="11">
        <v>17</v>
      </c>
      <c r="S14" s="11" t="str">
        <f>"004176"</f>
        <v>004176</v>
      </c>
      <c r="T14" s="10">
        <v>43302</v>
      </c>
      <c r="U14" s="14">
        <v>20.196000000000002</v>
      </c>
      <c r="V14" s="14">
        <v>1.1715</v>
      </c>
      <c r="W14" s="14">
        <v>19.0245</v>
      </c>
      <c r="X14" s="11">
        <v>136</v>
      </c>
      <c r="Y14" s="10">
        <v>43304</v>
      </c>
      <c r="Z14" s="11">
        <v>8022975610</v>
      </c>
      <c r="AA14" s="12" t="s">
        <v>95</v>
      </c>
      <c r="AB14" s="11" t="s">
        <v>96</v>
      </c>
      <c r="AC14" s="12" t="s">
        <v>97</v>
      </c>
      <c r="AD14" s="11" t="s">
        <v>43</v>
      </c>
      <c r="AE14" s="12" t="s">
        <v>44</v>
      </c>
      <c r="AF14" s="14">
        <v>0.20196000000000003</v>
      </c>
      <c r="AG14" s="11" t="s">
        <v>98</v>
      </c>
    </row>
    <row r="15" spans="1:33" x14ac:dyDescent="0.2">
      <c r="A15" s="8">
        <v>3830</v>
      </c>
      <c r="B15" s="9" t="s">
        <v>65</v>
      </c>
      <c r="C15" s="10">
        <v>43304</v>
      </c>
      <c r="D15" s="11">
        <v>45</v>
      </c>
      <c r="E15" s="12" t="s">
        <v>34</v>
      </c>
      <c r="F15" s="12" t="s">
        <v>35</v>
      </c>
      <c r="G15" s="12" t="s">
        <v>34</v>
      </c>
      <c r="H15" s="12" t="s">
        <v>36</v>
      </c>
      <c r="I15" s="11" t="s">
        <v>99</v>
      </c>
      <c r="J15" s="12" t="s">
        <v>100</v>
      </c>
      <c r="K15" s="13" t="s">
        <v>63</v>
      </c>
      <c r="L15" s="11" t="str">
        <f>"000052"</f>
        <v>000052</v>
      </c>
      <c r="M15" s="10">
        <v>43230</v>
      </c>
      <c r="N15" s="11" t="str">
        <f>"000035"</f>
        <v>000035</v>
      </c>
      <c r="O15" s="10">
        <v>43245</v>
      </c>
      <c r="P15" s="11" t="str">
        <f>"000059"</f>
        <v>000059</v>
      </c>
      <c r="Q15" s="10">
        <v>43253</v>
      </c>
      <c r="R15" s="11">
        <v>17</v>
      </c>
      <c r="S15" s="11" t="str">
        <f>"004177"</f>
        <v>004177</v>
      </c>
      <c r="T15" s="10">
        <v>43302</v>
      </c>
      <c r="U15" s="14">
        <v>28.324449999999999</v>
      </c>
      <c r="V15" s="14">
        <v>1.62025</v>
      </c>
      <c r="W15" s="14">
        <v>26.7042</v>
      </c>
      <c r="X15" s="11">
        <v>136</v>
      </c>
      <c r="Y15" s="10">
        <v>43304</v>
      </c>
      <c r="Z15" s="11">
        <v>9880133688</v>
      </c>
      <c r="AA15" s="12" t="s">
        <v>101</v>
      </c>
      <c r="AB15" s="11" t="s">
        <v>96</v>
      </c>
      <c r="AC15" s="12" t="s">
        <v>97</v>
      </c>
      <c r="AD15" s="11" t="s">
        <v>43</v>
      </c>
      <c r="AE15" s="12" t="s">
        <v>44</v>
      </c>
      <c r="AF15" s="14">
        <v>0.28324450000000001</v>
      </c>
      <c r="AG15" s="11" t="s">
        <v>98</v>
      </c>
    </row>
    <row r="16" spans="1:33" x14ac:dyDescent="0.2">
      <c r="A16" s="8">
        <v>3831</v>
      </c>
      <c r="B16" s="9" t="s">
        <v>65</v>
      </c>
      <c r="C16" s="10">
        <v>43304</v>
      </c>
      <c r="D16" s="11">
        <v>45</v>
      </c>
      <c r="E16" s="12" t="s">
        <v>34</v>
      </c>
      <c r="F16" s="12" t="s">
        <v>35</v>
      </c>
      <c r="G16" s="12" t="s">
        <v>34</v>
      </c>
      <c r="H16" s="12" t="s">
        <v>36</v>
      </c>
      <c r="I16" s="11" t="s">
        <v>102</v>
      </c>
      <c r="J16" s="12" t="s">
        <v>103</v>
      </c>
      <c r="K16" s="13" t="s">
        <v>63</v>
      </c>
      <c r="L16" s="11" t="str">
        <f>"000046"</f>
        <v>000046</v>
      </c>
      <c r="M16" s="10">
        <v>43230</v>
      </c>
      <c r="N16" s="11" t="str">
        <f>"000031"</f>
        <v>000031</v>
      </c>
      <c r="O16" s="10">
        <v>43245</v>
      </c>
      <c r="P16" s="11" t="str">
        <f>"000064"</f>
        <v>000064</v>
      </c>
      <c r="Q16" s="10">
        <v>43253</v>
      </c>
      <c r="R16" s="11">
        <v>17</v>
      </c>
      <c r="S16" s="11" t="str">
        <f>"004178"</f>
        <v>004178</v>
      </c>
      <c r="T16" s="10">
        <v>43302</v>
      </c>
      <c r="U16" s="14">
        <v>28.45205</v>
      </c>
      <c r="V16" s="14">
        <v>1.6162000000000001</v>
      </c>
      <c r="W16" s="14">
        <v>26.835850000000001</v>
      </c>
      <c r="X16" s="11">
        <v>136</v>
      </c>
      <c r="Y16" s="10">
        <v>43304</v>
      </c>
      <c r="Z16" s="11">
        <v>9880133688</v>
      </c>
      <c r="AA16" s="12" t="s">
        <v>101</v>
      </c>
      <c r="AB16" s="11" t="s">
        <v>96</v>
      </c>
      <c r="AC16" s="12" t="s">
        <v>97</v>
      </c>
      <c r="AD16" s="11" t="s">
        <v>43</v>
      </c>
      <c r="AE16" s="12" t="s">
        <v>44</v>
      </c>
      <c r="AF16" s="14">
        <v>0.28452050000000001</v>
      </c>
      <c r="AG16" s="11" t="s">
        <v>98</v>
      </c>
    </row>
    <row r="17" spans="1:33" x14ac:dyDescent="0.2">
      <c r="A17" s="8">
        <v>3832</v>
      </c>
      <c r="B17" s="9" t="s">
        <v>65</v>
      </c>
      <c r="C17" s="10">
        <v>43304</v>
      </c>
      <c r="D17" s="11">
        <v>45</v>
      </c>
      <c r="E17" s="12" t="s">
        <v>34</v>
      </c>
      <c r="F17" s="12" t="s">
        <v>35</v>
      </c>
      <c r="G17" s="12" t="s">
        <v>34</v>
      </c>
      <c r="H17" s="12" t="s">
        <v>36</v>
      </c>
      <c r="I17" s="11" t="s">
        <v>104</v>
      </c>
      <c r="J17" s="12" t="s">
        <v>105</v>
      </c>
      <c r="K17" s="13" t="s">
        <v>63</v>
      </c>
      <c r="L17" s="11" t="str">
        <f>"000030"</f>
        <v>000030</v>
      </c>
      <c r="M17" s="10">
        <v>43229</v>
      </c>
      <c r="N17" s="11" t="str">
        <f>"000029"</f>
        <v>000029</v>
      </c>
      <c r="O17" s="10">
        <v>43244</v>
      </c>
      <c r="P17" s="11" t="str">
        <f>"000066"</f>
        <v>000066</v>
      </c>
      <c r="Q17" s="10">
        <v>43253</v>
      </c>
      <c r="R17" s="11">
        <v>17</v>
      </c>
      <c r="S17" s="11" t="str">
        <f>"004179"</f>
        <v>004179</v>
      </c>
      <c r="T17" s="10">
        <v>43302</v>
      </c>
      <c r="U17" s="14">
        <v>40.538550000000001</v>
      </c>
      <c r="V17" s="14">
        <v>2.331</v>
      </c>
      <c r="W17" s="14">
        <v>38.207549999999998</v>
      </c>
      <c r="X17" s="11">
        <v>136</v>
      </c>
      <c r="Y17" s="10">
        <v>43304</v>
      </c>
      <c r="Z17" s="11">
        <v>8022975610</v>
      </c>
      <c r="AA17" s="12" t="s">
        <v>95</v>
      </c>
      <c r="AB17" s="11" t="s">
        <v>96</v>
      </c>
      <c r="AC17" s="12" t="s">
        <v>97</v>
      </c>
      <c r="AD17" s="11" t="s">
        <v>43</v>
      </c>
      <c r="AE17" s="12" t="s">
        <v>44</v>
      </c>
      <c r="AF17" s="14">
        <v>0.40538550000000001</v>
      </c>
      <c r="AG17" s="11" t="s">
        <v>98</v>
      </c>
    </row>
    <row r="18" spans="1:33" x14ac:dyDescent="0.2">
      <c r="A18" s="8">
        <v>3833</v>
      </c>
      <c r="B18" s="9" t="s">
        <v>65</v>
      </c>
      <c r="C18" s="10">
        <v>43304</v>
      </c>
      <c r="D18" s="11">
        <v>45</v>
      </c>
      <c r="E18" s="12" t="s">
        <v>34</v>
      </c>
      <c r="F18" s="12" t="s">
        <v>35</v>
      </c>
      <c r="G18" s="12" t="s">
        <v>34</v>
      </c>
      <c r="H18" s="12" t="s">
        <v>36</v>
      </c>
      <c r="I18" s="11" t="s">
        <v>106</v>
      </c>
      <c r="J18" s="12" t="s">
        <v>107</v>
      </c>
      <c r="K18" s="13" t="s">
        <v>63</v>
      </c>
      <c r="L18" s="11" t="str">
        <f>"000050"</f>
        <v>000050</v>
      </c>
      <c r="M18" s="10">
        <v>43230</v>
      </c>
      <c r="N18" s="11" t="str">
        <f>"000034"</f>
        <v>000034</v>
      </c>
      <c r="O18" s="10">
        <v>43245</v>
      </c>
      <c r="P18" s="11" t="str">
        <f>"000058"</f>
        <v>000058</v>
      </c>
      <c r="Q18" s="10">
        <v>43253</v>
      </c>
      <c r="R18" s="11">
        <v>17</v>
      </c>
      <c r="S18" s="11" t="str">
        <f>"004180"</f>
        <v>004180</v>
      </c>
      <c r="T18" s="10">
        <v>43302</v>
      </c>
      <c r="U18" s="14">
        <v>17.931850000000001</v>
      </c>
      <c r="V18" s="14">
        <v>1.0240499999999999</v>
      </c>
      <c r="W18" s="14">
        <v>16.907800000000002</v>
      </c>
      <c r="X18" s="11">
        <v>136</v>
      </c>
      <c r="Y18" s="10">
        <v>43304</v>
      </c>
      <c r="Z18" s="11">
        <v>9880133688</v>
      </c>
      <c r="AA18" s="12" t="s">
        <v>101</v>
      </c>
      <c r="AB18" s="11" t="s">
        <v>96</v>
      </c>
      <c r="AC18" s="12" t="s">
        <v>97</v>
      </c>
      <c r="AD18" s="11" t="s">
        <v>43</v>
      </c>
      <c r="AE18" s="12" t="s">
        <v>44</v>
      </c>
      <c r="AF18" s="14">
        <v>0.17931850000000002</v>
      </c>
      <c r="AG18" s="11" t="s">
        <v>98</v>
      </c>
    </row>
    <row r="19" spans="1:33" x14ac:dyDescent="0.2">
      <c r="A19" s="8">
        <v>3834</v>
      </c>
      <c r="B19" s="9" t="s">
        <v>65</v>
      </c>
      <c r="C19" s="10">
        <v>43304</v>
      </c>
      <c r="D19" s="11">
        <v>45</v>
      </c>
      <c r="E19" s="12" t="s">
        <v>34</v>
      </c>
      <c r="F19" s="12" t="s">
        <v>35</v>
      </c>
      <c r="G19" s="12" t="s">
        <v>34</v>
      </c>
      <c r="H19" s="12" t="s">
        <v>36</v>
      </c>
      <c r="I19" s="11" t="s">
        <v>108</v>
      </c>
      <c r="J19" s="12" t="s">
        <v>109</v>
      </c>
      <c r="K19" s="13" t="s">
        <v>63</v>
      </c>
      <c r="L19" s="11" t="str">
        <f>"000029"</f>
        <v>000029</v>
      </c>
      <c r="M19" s="10">
        <v>43229</v>
      </c>
      <c r="N19" s="11" t="str">
        <f>"000032"</f>
        <v>000032</v>
      </c>
      <c r="O19" s="10">
        <v>43245</v>
      </c>
      <c r="P19" s="11" t="str">
        <f>"000061"</f>
        <v>000061</v>
      </c>
      <c r="Q19" s="10">
        <v>43253</v>
      </c>
      <c r="R19" s="11">
        <v>17</v>
      </c>
      <c r="S19" s="11" t="str">
        <f>"004181"</f>
        <v>004181</v>
      </c>
      <c r="T19" s="10">
        <v>43302</v>
      </c>
      <c r="U19" s="14">
        <v>24.566199999999998</v>
      </c>
      <c r="V19" s="14">
        <v>1.41275</v>
      </c>
      <c r="W19" s="14">
        <v>23.153449999999999</v>
      </c>
      <c r="X19" s="11">
        <v>136</v>
      </c>
      <c r="Y19" s="10">
        <v>43304</v>
      </c>
      <c r="Z19" s="11">
        <v>8022975610</v>
      </c>
      <c r="AA19" s="12" t="s">
        <v>95</v>
      </c>
      <c r="AB19" s="11" t="s">
        <v>96</v>
      </c>
      <c r="AC19" s="12" t="s">
        <v>97</v>
      </c>
      <c r="AD19" s="11" t="s">
        <v>43</v>
      </c>
      <c r="AE19" s="12" t="s">
        <v>44</v>
      </c>
      <c r="AF19" s="14">
        <v>0.24566199999999999</v>
      </c>
      <c r="AG19" s="11" t="s">
        <v>98</v>
      </c>
    </row>
    <row r="20" spans="1:33" x14ac:dyDescent="0.2">
      <c r="A20" s="8">
        <v>3835</v>
      </c>
      <c r="B20" s="9" t="s">
        <v>65</v>
      </c>
      <c r="C20" s="10">
        <v>43304</v>
      </c>
      <c r="D20" s="11">
        <v>45</v>
      </c>
      <c r="E20" s="12" t="s">
        <v>34</v>
      </c>
      <c r="F20" s="12" t="s">
        <v>35</v>
      </c>
      <c r="G20" s="12" t="s">
        <v>34</v>
      </c>
      <c r="H20" s="12" t="s">
        <v>36</v>
      </c>
      <c r="I20" s="11" t="s">
        <v>110</v>
      </c>
      <c r="J20" s="12" t="s">
        <v>111</v>
      </c>
      <c r="K20" s="13" t="s">
        <v>63</v>
      </c>
      <c r="L20" s="11" t="str">
        <f>"000028"</f>
        <v>000028</v>
      </c>
      <c r="M20" s="10">
        <v>43229</v>
      </c>
      <c r="N20" s="11" t="str">
        <f>"000028"</f>
        <v>000028</v>
      </c>
      <c r="O20" s="10">
        <v>43244</v>
      </c>
      <c r="P20" s="11" t="str">
        <f>"000060"</f>
        <v>000060</v>
      </c>
      <c r="Q20" s="10">
        <v>43253</v>
      </c>
      <c r="R20" s="11">
        <v>17</v>
      </c>
      <c r="S20" s="11" t="str">
        <f>"004182"</f>
        <v>004182</v>
      </c>
      <c r="T20" s="10">
        <v>43302</v>
      </c>
      <c r="U20" s="14">
        <v>39.066499999999998</v>
      </c>
      <c r="V20" s="14">
        <v>2.2347999999999999</v>
      </c>
      <c r="W20" s="14">
        <v>36.831699999999998</v>
      </c>
      <c r="X20" s="11">
        <v>136</v>
      </c>
      <c r="Y20" s="10">
        <v>43304</v>
      </c>
      <c r="Z20" s="11">
        <v>8022975610</v>
      </c>
      <c r="AA20" s="12" t="s">
        <v>101</v>
      </c>
      <c r="AB20" s="11" t="s">
        <v>96</v>
      </c>
      <c r="AC20" s="12" t="s">
        <v>97</v>
      </c>
      <c r="AD20" s="11" t="s">
        <v>43</v>
      </c>
      <c r="AE20" s="12" t="s">
        <v>44</v>
      </c>
      <c r="AF20" s="14">
        <v>0.39066499999999998</v>
      </c>
      <c r="AG20" s="11" t="s">
        <v>98</v>
      </c>
    </row>
    <row r="21" spans="1:33" x14ac:dyDescent="0.2">
      <c r="A21" s="8">
        <v>3836</v>
      </c>
      <c r="B21" s="9" t="s">
        <v>65</v>
      </c>
      <c r="C21" s="10">
        <v>43304</v>
      </c>
      <c r="D21" s="11">
        <v>45</v>
      </c>
      <c r="E21" s="12" t="s">
        <v>34</v>
      </c>
      <c r="F21" s="12" t="s">
        <v>35</v>
      </c>
      <c r="G21" s="12" t="s">
        <v>34</v>
      </c>
      <c r="H21" s="12" t="s">
        <v>36</v>
      </c>
      <c r="I21" s="11" t="s">
        <v>112</v>
      </c>
      <c r="J21" s="12" t="s">
        <v>113</v>
      </c>
      <c r="K21" s="13" t="s">
        <v>48</v>
      </c>
      <c r="L21" s="11" t="str">
        <f>"000033"</f>
        <v>000033</v>
      </c>
      <c r="M21" s="10">
        <v>43230</v>
      </c>
      <c r="N21" s="11" t="str">
        <f>"000033"</f>
        <v>000033</v>
      </c>
      <c r="O21" s="10">
        <v>43245</v>
      </c>
      <c r="P21" s="11" t="str">
        <f>"000057"</f>
        <v>000057</v>
      </c>
      <c r="Q21" s="10">
        <v>43253</v>
      </c>
      <c r="R21" s="11">
        <v>17</v>
      </c>
      <c r="S21" s="11" t="str">
        <f>"004183"</f>
        <v>004183</v>
      </c>
      <c r="T21" s="10">
        <v>43302</v>
      </c>
      <c r="U21" s="14">
        <v>51.109400000000001</v>
      </c>
      <c r="V21" s="14">
        <v>2.88775</v>
      </c>
      <c r="W21" s="14">
        <v>48.221649999999997</v>
      </c>
      <c r="X21" s="11">
        <v>136</v>
      </c>
      <c r="Y21" s="10">
        <v>43304</v>
      </c>
      <c r="Z21" s="11">
        <v>8022975610</v>
      </c>
      <c r="AA21" s="12" t="s">
        <v>95</v>
      </c>
      <c r="AB21" s="11" t="s">
        <v>96</v>
      </c>
      <c r="AC21" s="12" t="s">
        <v>97</v>
      </c>
      <c r="AD21" s="11" t="s">
        <v>43</v>
      </c>
      <c r="AE21" s="12" t="s">
        <v>44</v>
      </c>
      <c r="AF21" s="14">
        <v>0.51109400000000005</v>
      </c>
      <c r="AG21" s="11" t="s">
        <v>98</v>
      </c>
    </row>
    <row r="22" spans="1:33" x14ac:dyDescent="0.2">
      <c r="A22" s="8">
        <v>3837</v>
      </c>
      <c r="B22" s="9" t="s">
        <v>65</v>
      </c>
      <c r="C22" s="10">
        <v>43304</v>
      </c>
      <c r="D22" s="11">
        <v>45</v>
      </c>
      <c r="E22" s="12" t="s">
        <v>34</v>
      </c>
      <c r="F22" s="12" t="s">
        <v>35</v>
      </c>
      <c r="G22" s="12" t="s">
        <v>34</v>
      </c>
      <c r="H22" s="12" t="s">
        <v>36</v>
      </c>
      <c r="I22" s="11" t="s">
        <v>114</v>
      </c>
      <c r="J22" s="12" t="s">
        <v>115</v>
      </c>
      <c r="K22" s="13" t="s">
        <v>63</v>
      </c>
      <c r="L22" s="11" t="str">
        <f>"000035"</f>
        <v>000035</v>
      </c>
      <c r="M22" s="10">
        <v>43230</v>
      </c>
      <c r="N22" s="11" t="str">
        <f>"000061"</f>
        <v>000061</v>
      </c>
      <c r="O22" s="10">
        <v>43250</v>
      </c>
      <c r="P22" s="11" t="str">
        <f>"000076"</f>
        <v>000076</v>
      </c>
      <c r="Q22" s="10">
        <v>43256</v>
      </c>
      <c r="R22" s="11">
        <v>17</v>
      </c>
      <c r="S22" s="11" t="str">
        <f>"004185"</f>
        <v>004185</v>
      </c>
      <c r="T22" s="10">
        <v>43302</v>
      </c>
      <c r="U22" s="14">
        <v>20.08709</v>
      </c>
      <c r="V22" s="14">
        <v>1.1452</v>
      </c>
      <c r="W22" s="14">
        <v>18.941890000000001</v>
      </c>
      <c r="X22" s="11">
        <v>136</v>
      </c>
      <c r="Y22" s="10">
        <v>43304</v>
      </c>
      <c r="Z22" s="11">
        <v>8022975610</v>
      </c>
      <c r="AA22" s="12" t="s">
        <v>95</v>
      </c>
      <c r="AB22" s="11" t="s">
        <v>96</v>
      </c>
      <c r="AC22" s="12" t="s">
        <v>97</v>
      </c>
      <c r="AD22" s="11" t="s">
        <v>43</v>
      </c>
      <c r="AE22" s="12" t="s">
        <v>44</v>
      </c>
      <c r="AF22" s="14">
        <v>0.20087089999999999</v>
      </c>
      <c r="AG22" s="11" t="s">
        <v>98</v>
      </c>
    </row>
    <row r="23" spans="1:33" x14ac:dyDescent="0.2">
      <c r="A23" s="8">
        <v>3838</v>
      </c>
      <c r="B23" s="9" t="s">
        <v>65</v>
      </c>
      <c r="C23" s="10">
        <v>43304</v>
      </c>
      <c r="D23" s="11">
        <v>45</v>
      </c>
      <c r="E23" s="12" t="s">
        <v>34</v>
      </c>
      <c r="F23" s="12" t="s">
        <v>35</v>
      </c>
      <c r="G23" s="12" t="s">
        <v>34</v>
      </c>
      <c r="H23" s="12" t="s">
        <v>36</v>
      </c>
      <c r="I23" s="11" t="s">
        <v>116</v>
      </c>
      <c r="J23" s="12" t="s">
        <v>117</v>
      </c>
      <c r="K23" s="13" t="s">
        <v>63</v>
      </c>
      <c r="L23" s="11" t="str">
        <f>"000045"</f>
        <v>000045</v>
      </c>
      <c r="M23" s="10">
        <v>43230</v>
      </c>
      <c r="N23" s="11" t="str">
        <f>"000067"</f>
        <v>000067</v>
      </c>
      <c r="O23" s="10">
        <v>43250</v>
      </c>
      <c r="P23" s="11" t="str">
        <f>"000073"</f>
        <v>000073</v>
      </c>
      <c r="Q23" s="10">
        <v>43256</v>
      </c>
      <c r="R23" s="11">
        <v>17</v>
      </c>
      <c r="S23" s="11" t="str">
        <f>"004187"</f>
        <v>004187</v>
      </c>
      <c r="T23" s="10">
        <v>43302</v>
      </c>
      <c r="U23" s="14">
        <v>24.47927</v>
      </c>
      <c r="V23" s="14">
        <v>1.3955</v>
      </c>
      <c r="W23" s="14">
        <v>23.083770000000001</v>
      </c>
      <c r="X23" s="11">
        <v>136</v>
      </c>
      <c r="Y23" s="10">
        <v>43304</v>
      </c>
      <c r="Z23" s="11">
        <v>9880133688</v>
      </c>
      <c r="AA23" s="12" t="s">
        <v>118</v>
      </c>
      <c r="AB23" s="11" t="s">
        <v>96</v>
      </c>
      <c r="AC23" s="12" t="s">
        <v>97</v>
      </c>
      <c r="AD23" s="11" t="s">
        <v>43</v>
      </c>
      <c r="AE23" s="12" t="s">
        <v>44</v>
      </c>
      <c r="AF23" s="14">
        <v>0.2447927</v>
      </c>
      <c r="AG23" s="11" t="s">
        <v>98</v>
      </c>
    </row>
    <row r="24" spans="1:33" x14ac:dyDescent="0.2">
      <c r="A24" s="8">
        <v>3839</v>
      </c>
      <c r="B24" s="9" t="s">
        <v>65</v>
      </c>
      <c r="C24" s="10">
        <v>43304</v>
      </c>
      <c r="D24" s="11">
        <v>45</v>
      </c>
      <c r="E24" s="12" t="s">
        <v>34</v>
      </c>
      <c r="F24" s="12" t="s">
        <v>35</v>
      </c>
      <c r="G24" s="12" t="s">
        <v>34</v>
      </c>
      <c r="H24" s="12" t="s">
        <v>36</v>
      </c>
      <c r="I24" s="11" t="s">
        <v>119</v>
      </c>
      <c r="J24" s="12" t="s">
        <v>120</v>
      </c>
      <c r="K24" s="13" t="s">
        <v>63</v>
      </c>
      <c r="L24" s="11" t="str">
        <f>"000040"</f>
        <v>000040</v>
      </c>
      <c r="M24" s="10">
        <v>43230</v>
      </c>
      <c r="N24" s="11" t="str">
        <f>"000064"</f>
        <v>000064</v>
      </c>
      <c r="O24" s="10">
        <v>43250</v>
      </c>
      <c r="P24" s="11" t="str">
        <f>"000070"</f>
        <v>000070</v>
      </c>
      <c r="Q24" s="10">
        <v>43256</v>
      </c>
      <c r="R24" s="11">
        <v>17</v>
      </c>
      <c r="S24" s="11" t="str">
        <f>"004188"</f>
        <v>004188</v>
      </c>
      <c r="T24" s="10">
        <v>43302</v>
      </c>
      <c r="U24" s="14">
        <v>28.609110000000001</v>
      </c>
      <c r="V24" s="14">
        <v>1.6309</v>
      </c>
      <c r="W24" s="14">
        <v>26.978210000000001</v>
      </c>
      <c r="X24" s="11">
        <v>136</v>
      </c>
      <c r="Y24" s="10">
        <v>43304</v>
      </c>
      <c r="Z24" s="11">
        <v>8022975610</v>
      </c>
      <c r="AA24" s="12" t="s">
        <v>101</v>
      </c>
      <c r="AB24" s="11" t="s">
        <v>96</v>
      </c>
      <c r="AC24" s="12" t="s">
        <v>97</v>
      </c>
      <c r="AD24" s="11" t="s">
        <v>43</v>
      </c>
      <c r="AE24" s="12" t="s">
        <v>44</v>
      </c>
      <c r="AF24" s="14">
        <v>0.28609109999999999</v>
      </c>
      <c r="AG24" s="11" t="s">
        <v>98</v>
      </c>
    </row>
    <row r="25" spans="1:33" x14ac:dyDescent="0.2">
      <c r="A25" s="8">
        <v>3840</v>
      </c>
      <c r="B25" s="9" t="s">
        <v>65</v>
      </c>
      <c r="C25" s="10">
        <v>43304</v>
      </c>
      <c r="D25" s="11">
        <v>45</v>
      </c>
      <c r="E25" s="12" t="s">
        <v>34</v>
      </c>
      <c r="F25" s="12" t="s">
        <v>35</v>
      </c>
      <c r="G25" s="12" t="s">
        <v>34</v>
      </c>
      <c r="H25" s="12" t="s">
        <v>36</v>
      </c>
      <c r="I25" s="11" t="s">
        <v>121</v>
      </c>
      <c r="J25" s="12" t="s">
        <v>122</v>
      </c>
      <c r="K25" s="13" t="s">
        <v>63</v>
      </c>
      <c r="L25" s="11" t="str">
        <f>"000047"</f>
        <v>000047</v>
      </c>
      <c r="M25" s="10">
        <v>43230</v>
      </c>
      <c r="N25" s="11" t="str">
        <f>"000079"</f>
        <v>000079</v>
      </c>
      <c r="O25" s="10">
        <v>43256</v>
      </c>
      <c r="P25" s="11" t="str">
        <f>"000079"</f>
        <v>000079</v>
      </c>
      <c r="Q25" s="10">
        <v>43257</v>
      </c>
      <c r="R25" s="11">
        <v>17</v>
      </c>
      <c r="S25" s="11" t="str">
        <f>"004190"</f>
        <v>004190</v>
      </c>
      <c r="T25" s="10">
        <v>43302</v>
      </c>
      <c r="U25" s="14">
        <v>29.362760000000002</v>
      </c>
      <c r="V25" s="14">
        <v>1.6740999999999999</v>
      </c>
      <c r="W25" s="14">
        <v>27.688659999999999</v>
      </c>
      <c r="X25" s="11">
        <v>136</v>
      </c>
      <c r="Y25" s="10">
        <v>43304</v>
      </c>
      <c r="Z25" s="11">
        <v>9880133688</v>
      </c>
      <c r="AA25" s="12" t="s">
        <v>101</v>
      </c>
      <c r="AB25" s="11" t="s">
        <v>96</v>
      </c>
      <c r="AC25" s="12" t="s">
        <v>97</v>
      </c>
      <c r="AD25" s="11" t="s">
        <v>43</v>
      </c>
      <c r="AE25" s="12" t="s">
        <v>44</v>
      </c>
      <c r="AF25" s="14">
        <v>0.29362759999999999</v>
      </c>
      <c r="AG25" s="11" t="s">
        <v>98</v>
      </c>
    </row>
    <row r="26" spans="1:33" x14ac:dyDescent="0.2">
      <c r="A26" s="8">
        <v>3841</v>
      </c>
      <c r="B26" s="9" t="s">
        <v>65</v>
      </c>
      <c r="C26" s="10">
        <v>43304</v>
      </c>
      <c r="D26" s="11">
        <v>45</v>
      </c>
      <c r="E26" s="12" t="s">
        <v>34</v>
      </c>
      <c r="F26" s="12" t="s">
        <v>35</v>
      </c>
      <c r="G26" s="12" t="s">
        <v>34</v>
      </c>
      <c r="H26" s="12" t="s">
        <v>36</v>
      </c>
      <c r="I26" s="11" t="s">
        <v>123</v>
      </c>
      <c r="J26" s="12" t="s">
        <v>124</v>
      </c>
      <c r="K26" s="13" t="s">
        <v>63</v>
      </c>
      <c r="L26" s="11" t="str">
        <f>"000038"</f>
        <v>000038</v>
      </c>
      <c r="M26" s="10">
        <v>43230</v>
      </c>
      <c r="N26" s="11" t="str">
        <f>"000062"</f>
        <v>000062</v>
      </c>
      <c r="O26" s="10">
        <v>43250</v>
      </c>
      <c r="P26" s="11" t="str">
        <f>"000071"</f>
        <v>000071</v>
      </c>
      <c r="Q26" s="10">
        <v>43256</v>
      </c>
      <c r="R26" s="11">
        <v>17</v>
      </c>
      <c r="S26" s="11" t="str">
        <f>"004191"</f>
        <v>004191</v>
      </c>
      <c r="T26" s="10">
        <v>43302</v>
      </c>
      <c r="U26" s="14">
        <v>20.351030000000002</v>
      </c>
      <c r="V26" s="14">
        <v>1.1604000000000001</v>
      </c>
      <c r="W26" s="14">
        <v>19.190629999999999</v>
      </c>
      <c r="X26" s="11">
        <v>136</v>
      </c>
      <c r="Y26" s="10">
        <v>43304</v>
      </c>
      <c r="Z26" s="11">
        <v>8022975610</v>
      </c>
      <c r="AA26" s="12" t="s">
        <v>125</v>
      </c>
      <c r="AB26" s="11" t="s">
        <v>96</v>
      </c>
      <c r="AC26" s="12" t="s">
        <v>97</v>
      </c>
      <c r="AD26" s="11" t="s">
        <v>43</v>
      </c>
      <c r="AE26" s="12" t="s">
        <v>44</v>
      </c>
      <c r="AF26" s="14">
        <v>0.20351030000000001</v>
      </c>
      <c r="AG26" s="11" t="s">
        <v>98</v>
      </c>
    </row>
    <row r="27" spans="1:33" x14ac:dyDescent="0.2">
      <c r="A27" s="8">
        <v>3842</v>
      </c>
      <c r="B27" s="9" t="s">
        <v>65</v>
      </c>
      <c r="C27" s="10">
        <v>43304</v>
      </c>
      <c r="D27" s="11">
        <v>45</v>
      </c>
      <c r="E27" s="12" t="s">
        <v>34</v>
      </c>
      <c r="F27" s="12" t="s">
        <v>35</v>
      </c>
      <c r="G27" s="12" t="s">
        <v>34</v>
      </c>
      <c r="H27" s="12" t="s">
        <v>36</v>
      </c>
      <c r="I27" s="11" t="s">
        <v>126</v>
      </c>
      <c r="J27" s="12" t="s">
        <v>127</v>
      </c>
      <c r="K27" s="13" t="s">
        <v>63</v>
      </c>
      <c r="L27" s="11" t="str">
        <f>"000027"</f>
        <v>000027</v>
      </c>
      <c r="M27" s="10">
        <v>43229</v>
      </c>
      <c r="N27" s="11" t="str">
        <f>"000060"</f>
        <v>000060</v>
      </c>
      <c r="O27" s="10">
        <v>43250</v>
      </c>
      <c r="P27" s="11" t="str">
        <f>"000074"</f>
        <v>000074</v>
      </c>
      <c r="Q27" s="10">
        <v>43256</v>
      </c>
      <c r="R27" s="11">
        <v>17</v>
      </c>
      <c r="S27" s="11" t="str">
        <f>"004193"</f>
        <v>004193</v>
      </c>
      <c r="T27" s="10">
        <v>43302</v>
      </c>
      <c r="U27" s="14">
        <v>32.829079999999998</v>
      </c>
      <c r="V27" s="14">
        <v>1.8714</v>
      </c>
      <c r="W27" s="14">
        <v>30.95768</v>
      </c>
      <c r="X27" s="11">
        <v>136</v>
      </c>
      <c r="Y27" s="10">
        <v>43304</v>
      </c>
      <c r="Z27" s="11">
        <v>8022975610</v>
      </c>
      <c r="AA27" s="12" t="s">
        <v>101</v>
      </c>
      <c r="AB27" s="11" t="s">
        <v>96</v>
      </c>
      <c r="AC27" s="12" t="s">
        <v>97</v>
      </c>
      <c r="AD27" s="11" t="s">
        <v>43</v>
      </c>
      <c r="AE27" s="12" t="s">
        <v>44</v>
      </c>
      <c r="AF27" s="14">
        <v>0.32829079999999999</v>
      </c>
      <c r="AG27" s="11" t="s">
        <v>98</v>
      </c>
    </row>
    <row r="28" spans="1:33" x14ac:dyDescent="0.2">
      <c r="A28" s="8">
        <v>3843</v>
      </c>
      <c r="B28" s="9" t="s">
        <v>65</v>
      </c>
      <c r="C28" s="10">
        <v>43304</v>
      </c>
      <c r="D28" s="11">
        <v>45</v>
      </c>
      <c r="E28" s="12" t="s">
        <v>34</v>
      </c>
      <c r="F28" s="12" t="s">
        <v>35</v>
      </c>
      <c r="G28" s="12" t="s">
        <v>34</v>
      </c>
      <c r="H28" s="12" t="s">
        <v>36</v>
      </c>
      <c r="I28" s="11" t="s">
        <v>128</v>
      </c>
      <c r="J28" s="12" t="s">
        <v>129</v>
      </c>
      <c r="K28" s="13" t="s">
        <v>63</v>
      </c>
      <c r="L28" s="11" t="str">
        <f>"000043"</f>
        <v>000043</v>
      </c>
      <c r="M28" s="10">
        <v>43230</v>
      </c>
      <c r="N28" s="11" t="str">
        <f>"000065"</f>
        <v>000065</v>
      </c>
      <c r="O28" s="10">
        <v>43250</v>
      </c>
      <c r="P28" s="11" t="str">
        <f>"000072"</f>
        <v>000072</v>
      </c>
      <c r="Q28" s="10">
        <v>43256</v>
      </c>
      <c r="R28" s="11">
        <v>17</v>
      </c>
      <c r="S28" s="11" t="str">
        <f>"004194"</f>
        <v>004194</v>
      </c>
      <c r="T28" s="10">
        <v>43302</v>
      </c>
      <c r="U28" s="14">
        <v>24.235759999999999</v>
      </c>
      <c r="V28" s="14">
        <v>1.3816999999999999</v>
      </c>
      <c r="W28" s="14">
        <v>22.85406</v>
      </c>
      <c r="X28" s="11">
        <v>136</v>
      </c>
      <c r="Y28" s="10">
        <v>43304</v>
      </c>
      <c r="Z28" s="11">
        <v>9880133688</v>
      </c>
      <c r="AA28" s="12" t="s">
        <v>101</v>
      </c>
      <c r="AB28" s="11" t="s">
        <v>96</v>
      </c>
      <c r="AC28" s="12" t="s">
        <v>97</v>
      </c>
      <c r="AD28" s="11" t="s">
        <v>43</v>
      </c>
      <c r="AE28" s="12" t="s">
        <v>44</v>
      </c>
      <c r="AF28" s="14">
        <v>0.24235759999999998</v>
      </c>
      <c r="AG28" s="11" t="s">
        <v>98</v>
      </c>
    </row>
    <row r="29" spans="1:33" x14ac:dyDescent="0.2">
      <c r="A29" s="8">
        <v>3844</v>
      </c>
      <c r="B29" s="9" t="s">
        <v>65</v>
      </c>
      <c r="C29" s="10">
        <v>43304</v>
      </c>
      <c r="D29" s="11">
        <v>45</v>
      </c>
      <c r="E29" s="12" t="s">
        <v>34</v>
      </c>
      <c r="F29" s="12" t="s">
        <v>35</v>
      </c>
      <c r="G29" s="12" t="s">
        <v>34</v>
      </c>
      <c r="H29" s="12" t="s">
        <v>36</v>
      </c>
      <c r="I29" s="11" t="s">
        <v>130</v>
      </c>
      <c r="J29" s="12" t="s">
        <v>131</v>
      </c>
      <c r="K29" s="13" t="s">
        <v>63</v>
      </c>
      <c r="L29" s="11" t="str">
        <f>"000014"</f>
        <v>000014</v>
      </c>
      <c r="M29" s="10">
        <v>42983</v>
      </c>
      <c r="N29" s="11" t="str">
        <f>"000005"</f>
        <v>000005</v>
      </c>
      <c r="O29" s="10">
        <v>42984</v>
      </c>
      <c r="P29" s="11" t="str">
        <f>"000005"</f>
        <v>000005</v>
      </c>
      <c r="Q29" s="10">
        <v>42984</v>
      </c>
      <c r="R29" s="11">
        <v>16</v>
      </c>
      <c r="S29" s="11" t="str">
        <f>"007129"</f>
        <v>007129</v>
      </c>
      <c r="T29" s="10">
        <v>43038</v>
      </c>
      <c r="U29" s="14">
        <v>39.495139999999999</v>
      </c>
      <c r="V29" s="14">
        <v>2.1734</v>
      </c>
      <c r="W29" s="14">
        <v>37.321739999999998</v>
      </c>
      <c r="X29" s="11">
        <v>136</v>
      </c>
      <c r="Y29" s="10">
        <v>43304</v>
      </c>
      <c r="Z29" s="11">
        <v>8022975610</v>
      </c>
      <c r="AA29" s="12" t="s">
        <v>132</v>
      </c>
      <c r="AB29" s="11" t="s">
        <v>133</v>
      </c>
      <c r="AC29" s="12" t="s">
        <v>134</v>
      </c>
      <c r="AD29" s="11" t="s">
        <v>43</v>
      </c>
      <c r="AE29" s="12" t="s">
        <v>44</v>
      </c>
      <c r="AF29" s="14">
        <v>0.39495140000000001</v>
      </c>
      <c r="AG29" s="11" t="s">
        <v>45</v>
      </c>
    </row>
    <row r="30" spans="1:33" x14ac:dyDescent="0.2">
      <c r="A30" s="8">
        <v>4084</v>
      </c>
      <c r="B30" s="9" t="s">
        <v>65</v>
      </c>
      <c r="C30" s="10">
        <v>43308</v>
      </c>
      <c r="D30" s="11">
        <v>45</v>
      </c>
      <c r="E30" s="12" t="s">
        <v>34</v>
      </c>
      <c r="F30" s="12" t="s">
        <v>35</v>
      </c>
      <c r="G30" s="12" t="s">
        <v>34</v>
      </c>
      <c r="H30" s="12" t="s">
        <v>36</v>
      </c>
      <c r="I30" s="11" t="s">
        <v>135</v>
      </c>
      <c r="J30" s="12" t="s">
        <v>136</v>
      </c>
      <c r="K30" s="13" t="s">
        <v>39</v>
      </c>
      <c r="L30" s="11" t="str">
        <f>"000102"</f>
        <v>000102</v>
      </c>
      <c r="M30" s="10">
        <v>42906</v>
      </c>
      <c r="N30" s="11" t="str">
        <f>"000001"</f>
        <v>000001</v>
      </c>
      <c r="O30" s="10">
        <v>43193</v>
      </c>
      <c r="P30" s="11" t="str">
        <f>"000001"</f>
        <v>000001</v>
      </c>
      <c r="Q30" s="10">
        <v>43193</v>
      </c>
      <c r="R30" s="11">
        <v>16</v>
      </c>
      <c r="S30" s="11" t="str">
        <f>"004365"</f>
        <v>004365</v>
      </c>
      <c r="T30" s="10">
        <v>43306</v>
      </c>
      <c r="U30" s="14">
        <v>0.99375999999999998</v>
      </c>
      <c r="V30" s="14">
        <v>5.0700000000000002E-2</v>
      </c>
      <c r="W30" s="14">
        <v>0.94306000000000001</v>
      </c>
      <c r="X30" s="11">
        <v>146</v>
      </c>
      <c r="Y30" s="10">
        <v>43308</v>
      </c>
      <c r="Z30" s="11">
        <v>9845004432</v>
      </c>
      <c r="AA30" s="12" t="s">
        <v>137</v>
      </c>
      <c r="AB30" s="11" t="s">
        <v>138</v>
      </c>
      <c r="AC30" s="12" t="s">
        <v>139</v>
      </c>
      <c r="AD30" s="11" t="s">
        <v>91</v>
      </c>
      <c r="AE30" s="12" t="s">
        <v>92</v>
      </c>
      <c r="AF30" s="14">
        <v>9.9375999999999996E-3</v>
      </c>
      <c r="AG30" s="11" t="s">
        <v>140</v>
      </c>
    </row>
    <row r="31" spans="1:33" x14ac:dyDescent="0.2">
      <c r="A31" s="8">
        <v>4085</v>
      </c>
      <c r="B31" s="9" t="s">
        <v>65</v>
      </c>
      <c r="C31" s="10">
        <v>43308</v>
      </c>
      <c r="D31" s="11">
        <v>45</v>
      </c>
      <c r="E31" s="12" t="s">
        <v>34</v>
      </c>
      <c r="F31" s="12" t="s">
        <v>35</v>
      </c>
      <c r="G31" s="12" t="s">
        <v>34</v>
      </c>
      <c r="H31" s="12" t="s">
        <v>36</v>
      </c>
      <c r="I31" s="11" t="s">
        <v>141</v>
      </c>
      <c r="J31" s="12" t="s">
        <v>142</v>
      </c>
      <c r="K31" s="13" t="s">
        <v>39</v>
      </c>
      <c r="L31" s="11" t="str">
        <f>"000014"</f>
        <v>000014</v>
      </c>
      <c r="M31" s="10">
        <v>42949</v>
      </c>
      <c r="N31" s="11" t="str">
        <f>"000002"</f>
        <v>000002</v>
      </c>
      <c r="O31" s="10">
        <v>43193</v>
      </c>
      <c r="P31" s="11" t="str">
        <f>"000002"</f>
        <v>000002</v>
      </c>
      <c r="Q31" s="10">
        <v>43193</v>
      </c>
      <c r="R31" s="11">
        <v>16</v>
      </c>
      <c r="S31" s="11" t="str">
        <f>"004370"</f>
        <v>004370</v>
      </c>
      <c r="T31" s="10">
        <v>43306</v>
      </c>
      <c r="U31" s="14">
        <v>0.99375999999999998</v>
      </c>
      <c r="V31" s="14">
        <v>5.0700000000000002E-2</v>
      </c>
      <c r="W31" s="14">
        <v>0.94306000000000001</v>
      </c>
      <c r="X31" s="11">
        <v>146</v>
      </c>
      <c r="Y31" s="10">
        <v>43308</v>
      </c>
      <c r="Z31" s="11">
        <v>9141395491</v>
      </c>
      <c r="AA31" s="12" t="s">
        <v>137</v>
      </c>
      <c r="AB31" s="11" t="s">
        <v>138</v>
      </c>
      <c r="AC31" s="12" t="s">
        <v>139</v>
      </c>
      <c r="AD31" s="11" t="s">
        <v>91</v>
      </c>
      <c r="AE31" s="12" t="s">
        <v>92</v>
      </c>
      <c r="AF31" s="14">
        <v>9.9375999999999996E-3</v>
      </c>
      <c r="AG31" s="11" t="s">
        <v>140</v>
      </c>
    </row>
    <row r="32" spans="1:33" x14ac:dyDescent="0.2">
      <c r="A32" s="8">
        <v>5216</v>
      </c>
      <c r="B32" s="9" t="s">
        <v>143</v>
      </c>
      <c r="C32" s="10">
        <v>43346</v>
      </c>
      <c r="D32" s="11">
        <v>45</v>
      </c>
      <c r="E32" s="12" t="s">
        <v>34</v>
      </c>
      <c r="F32" s="12" t="s">
        <v>35</v>
      </c>
      <c r="G32" s="12" t="s">
        <v>34</v>
      </c>
      <c r="H32" s="12" t="s">
        <v>36</v>
      </c>
      <c r="I32" s="11" t="s">
        <v>144</v>
      </c>
      <c r="J32" s="12" t="s">
        <v>145</v>
      </c>
      <c r="K32" s="13" t="s">
        <v>146</v>
      </c>
      <c r="L32" s="11" t="str">
        <f>"000073"</f>
        <v>000073</v>
      </c>
      <c r="M32" s="10">
        <v>43045</v>
      </c>
      <c r="N32" s="11" t="str">
        <f>"000080"</f>
        <v>000080</v>
      </c>
      <c r="O32" s="10">
        <v>43259</v>
      </c>
      <c r="P32" s="11" t="str">
        <f>"000119"</f>
        <v>000119</v>
      </c>
      <c r="Q32" s="10">
        <v>43307</v>
      </c>
      <c r="R32" s="11">
        <v>17</v>
      </c>
      <c r="S32" s="11" t="str">
        <f>"005516"</f>
        <v>005516</v>
      </c>
      <c r="T32" s="10">
        <v>43341</v>
      </c>
      <c r="U32" s="14">
        <v>10.4512</v>
      </c>
      <c r="V32" s="14">
        <v>1.1717</v>
      </c>
      <c r="W32" s="14">
        <v>9.2795000000000005</v>
      </c>
      <c r="X32" s="11">
        <v>192</v>
      </c>
      <c r="Y32" s="10">
        <v>43346</v>
      </c>
      <c r="Z32" s="11">
        <v>8022975610</v>
      </c>
      <c r="AA32" s="12" t="s">
        <v>147</v>
      </c>
      <c r="AB32" s="11" t="s">
        <v>148</v>
      </c>
      <c r="AC32" s="12" t="s">
        <v>149</v>
      </c>
      <c r="AD32" s="11" t="s">
        <v>43</v>
      </c>
      <c r="AE32" s="12" t="s">
        <v>44</v>
      </c>
      <c r="AF32" s="14">
        <f t="shared" ref="AF32:AF52" si="0">U32/100</f>
        <v>0.10451199999999999</v>
      </c>
      <c r="AG32" s="11" t="s">
        <v>140</v>
      </c>
    </row>
    <row r="33" spans="1:33" x14ac:dyDescent="0.2">
      <c r="A33" s="8">
        <v>5629</v>
      </c>
      <c r="B33" s="9" t="s">
        <v>143</v>
      </c>
      <c r="C33" s="10">
        <v>43370</v>
      </c>
      <c r="D33" s="11">
        <v>45</v>
      </c>
      <c r="E33" s="12" t="s">
        <v>34</v>
      </c>
      <c r="F33" s="12" t="s">
        <v>35</v>
      </c>
      <c r="G33" s="12" t="s">
        <v>34</v>
      </c>
      <c r="H33" s="12" t="s">
        <v>36</v>
      </c>
      <c r="I33" s="11" t="s">
        <v>37</v>
      </c>
      <c r="J33" s="12" t="s">
        <v>38</v>
      </c>
      <c r="K33" s="13" t="s">
        <v>150</v>
      </c>
      <c r="L33" s="11" t="str">
        <f>"000019"</f>
        <v>000019</v>
      </c>
      <c r="M33" s="10">
        <v>42870</v>
      </c>
      <c r="N33" s="11" t="str">
        <f>"000020"</f>
        <v>000020</v>
      </c>
      <c r="O33" s="10">
        <v>43039</v>
      </c>
      <c r="P33" s="11" t="str">
        <f>"000048"</f>
        <v>000048</v>
      </c>
      <c r="Q33" s="10">
        <v>43089</v>
      </c>
      <c r="R33" s="11">
        <v>17</v>
      </c>
      <c r="S33" s="11" t="str">
        <f>"005934"</f>
        <v>005934</v>
      </c>
      <c r="T33" s="10">
        <v>43368</v>
      </c>
      <c r="U33" s="14">
        <v>26.831679999999999</v>
      </c>
      <c r="V33" s="14">
        <v>1.2257</v>
      </c>
      <c r="W33" s="14">
        <v>25.605979999999999</v>
      </c>
      <c r="X33" s="11">
        <v>218</v>
      </c>
      <c r="Y33" s="10">
        <v>43370</v>
      </c>
      <c r="Z33" s="11">
        <v>9448274200</v>
      </c>
      <c r="AA33" s="12" t="s">
        <v>40</v>
      </c>
      <c r="AB33" s="11" t="s">
        <v>41</v>
      </c>
      <c r="AC33" s="12" t="s">
        <v>42</v>
      </c>
      <c r="AD33" s="11" t="s">
        <v>43</v>
      </c>
      <c r="AE33" s="12" t="s">
        <v>44</v>
      </c>
      <c r="AF33" s="14">
        <f t="shared" si="0"/>
        <v>0.26831679999999997</v>
      </c>
      <c r="AG33" s="11" t="s">
        <v>45</v>
      </c>
    </row>
    <row r="34" spans="1:33" x14ac:dyDescent="0.2">
      <c r="A34" s="8">
        <v>6739</v>
      </c>
      <c r="B34" s="9" t="s">
        <v>151</v>
      </c>
      <c r="C34" s="10">
        <v>43390</v>
      </c>
      <c r="D34" s="11">
        <v>45</v>
      </c>
      <c r="E34" s="12" t="s">
        <v>34</v>
      </c>
      <c r="F34" s="12" t="s">
        <v>35</v>
      </c>
      <c r="G34" s="12" t="s">
        <v>34</v>
      </c>
      <c r="H34" s="12" t="s">
        <v>36</v>
      </c>
      <c r="I34" s="11" t="s">
        <v>152</v>
      </c>
      <c r="J34" s="12" t="s">
        <v>153</v>
      </c>
      <c r="K34" s="13" t="s">
        <v>154</v>
      </c>
      <c r="L34" s="11" t="str">
        <f>"000114"</f>
        <v>000114</v>
      </c>
      <c r="M34" s="10">
        <v>43094</v>
      </c>
      <c r="N34" s="11" t="str">
        <f>"000064"</f>
        <v>000064</v>
      </c>
      <c r="O34" s="10">
        <v>43190</v>
      </c>
      <c r="P34" s="11" t="str">
        <f>"000157"</f>
        <v>000157</v>
      </c>
      <c r="Q34" s="10">
        <v>43362</v>
      </c>
      <c r="R34" s="11">
        <v>17</v>
      </c>
      <c r="S34" s="11" t="str">
        <f>"006806"</f>
        <v>006806</v>
      </c>
      <c r="T34" s="10">
        <v>43389</v>
      </c>
      <c r="U34" s="14">
        <v>8.3155900000000003</v>
      </c>
      <c r="V34" s="14">
        <v>0.36890000000000001</v>
      </c>
      <c r="W34" s="14">
        <v>7.9466900000000003</v>
      </c>
      <c r="X34" s="11">
        <v>245</v>
      </c>
      <c r="Y34" s="10">
        <v>43390</v>
      </c>
      <c r="Z34" s="11">
        <v>8022975610</v>
      </c>
      <c r="AA34" s="12" t="s">
        <v>155</v>
      </c>
      <c r="AB34" s="11" t="s">
        <v>156</v>
      </c>
      <c r="AC34" s="12" t="s">
        <v>157</v>
      </c>
      <c r="AD34" s="11" t="s">
        <v>43</v>
      </c>
      <c r="AE34" s="12" t="s">
        <v>44</v>
      </c>
      <c r="AF34" s="14">
        <f t="shared" si="0"/>
        <v>8.3155900000000005E-2</v>
      </c>
      <c r="AG34" s="11" t="s">
        <v>140</v>
      </c>
    </row>
    <row r="35" spans="1:33" x14ac:dyDescent="0.2">
      <c r="A35" s="8">
        <v>7299</v>
      </c>
      <c r="B35" s="9" t="s">
        <v>158</v>
      </c>
      <c r="C35" s="10">
        <v>43421</v>
      </c>
      <c r="D35" s="11">
        <v>45</v>
      </c>
      <c r="E35" s="12" t="s">
        <v>34</v>
      </c>
      <c r="F35" s="12" t="s">
        <v>35</v>
      </c>
      <c r="G35" s="12" t="s">
        <v>34</v>
      </c>
      <c r="H35" s="12" t="s">
        <v>36</v>
      </c>
      <c r="I35" s="11" t="s">
        <v>159</v>
      </c>
      <c r="J35" s="12" t="s">
        <v>160</v>
      </c>
      <c r="K35" s="13" t="s">
        <v>161</v>
      </c>
      <c r="L35" s="11" t="str">
        <f>"000242"</f>
        <v>000242</v>
      </c>
      <c r="M35" s="10">
        <v>43169</v>
      </c>
      <c r="N35" s="11" t="str">
        <f>"000099"</f>
        <v>000099</v>
      </c>
      <c r="O35" s="10">
        <v>43311</v>
      </c>
      <c r="P35" s="11" t="str">
        <f>"000138"</f>
        <v>000138</v>
      </c>
      <c r="Q35" s="10">
        <v>43329</v>
      </c>
      <c r="R35" s="11">
        <v>18</v>
      </c>
      <c r="S35" s="11" t="str">
        <f>"007324"</f>
        <v>007324</v>
      </c>
      <c r="T35" s="10">
        <v>43418</v>
      </c>
      <c r="U35" s="14">
        <v>18.424299999999999</v>
      </c>
      <c r="V35" s="14">
        <v>1.6269</v>
      </c>
      <c r="W35" s="14">
        <v>16.7974</v>
      </c>
      <c r="X35" s="11">
        <v>269</v>
      </c>
      <c r="Y35" s="10">
        <v>43421</v>
      </c>
      <c r="Z35" s="11">
        <v>8022975610</v>
      </c>
      <c r="AA35" s="12" t="s">
        <v>162</v>
      </c>
      <c r="AB35" s="11" t="s">
        <v>163</v>
      </c>
      <c r="AC35" s="12" t="s">
        <v>164</v>
      </c>
      <c r="AD35" s="11" t="s">
        <v>43</v>
      </c>
      <c r="AE35" s="12" t="s">
        <v>44</v>
      </c>
      <c r="AF35" s="14">
        <f t="shared" si="0"/>
        <v>0.18424299999999999</v>
      </c>
      <c r="AG35" s="11" t="s">
        <v>140</v>
      </c>
    </row>
    <row r="36" spans="1:33" x14ac:dyDescent="0.2">
      <c r="A36" s="8">
        <v>7300</v>
      </c>
      <c r="B36" s="9" t="s">
        <v>158</v>
      </c>
      <c r="C36" s="10">
        <v>43421</v>
      </c>
      <c r="D36" s="11">
        <v>45</v>
      </c>
      <c r="E36" s="12" t="s">
        <v>34</v>
      </c>
      <c r="F36" s="12" t="s">
        <v>35</v>
      </c>
      <c r="G36" s="12" t="s">
        <v>34</v>
      </c>
      <c r="H36" s="12" t="s">
        <v>36</v>
      </c>
      <c r="I36" s="11" t="s">
        <v>165</v>
      </c>
      <c r="J36" s="12" t="s">
        <v>166</v>
      </c>
      <c r="K36" s="13" t="s">
        <v>161</v>
      </c>
      <c r="L36" s="11" t="str">
        <f>"000003"</f>
        <v>000003</v>
      </c>
      <c r="M36" s="10">
        <v>43192</v>
      </c>
      <c r="N36" s="11" t="str">
        <f>"000104"</f>
        <v>000104</v>
      </c>
      <c r="O36" s="10">
        <v>43312</v>
      </c>
      <c r="P36" s="11" t="str">
        <f>"000139"</f>
        <v>000139</v>
      </c>
      <c r="Q36" s="10">
        <v>43329</v>
      </c>
      <c r="R36" s="11">
        <v>18</v>
      </c>
      <c r="S36" s="11" t="str">
        <f>"007325"</f>
        <v>007325</v>
      </c>
      <c r="T36" s="10">
        <v>43418</v>
      </c>
      <c r="U36" s="14">
        <v>18.160399999999999</v>
      </c>
      <c r="V36" s="14">
        <v>1.6035999999999999</v>
      </c>
      <c r="W36" s="14">
        <v>16.556799999999999</v>
      </c>
      <c r="X36" s="11">
        <v>269</v>
      </c>
      <c r="Y36" s="10">
        <v>43421</v>
      </c>
      <c r="Z36" s="11">
        <v>8022975610</v>
      </c>
      <c r="AA36" s="12" t="s">
        <v>167</v>
      </c>
      <c r="AB36" s="11" t="s">
        <v>163</v>
      </c>
      <c r="AC36" s="12" t="s">
        <v>164</v>
      </c>
      <c r="AD36" s="11" t="s">
        <v>43</v>
      </c>
      <c r="AE36" s="12" t="s">
        <v>44</v>
      </c>
      <c r="AF36" s="14">
        <f t="shared" si="0"/>
        <v>0.18160399999999999</v>
      </c>
      <c r="AG36" s="11" t="s">
        <v>98</v>
      </c>
    </row>
    <row r="37" spans="1:33" x14ac:dyDescent="0.2">
      <c r="A37" s="8">
        <v>7301</v>
      </c>
      <c r="B37" s="9" t="s">
        <v>158</v>
      </c>
      <c r="C37" s="10">
        <v>43421</v>
      </c>
      <c r="D37" s="11">
        <v>45</v>
      </c>
      <c r="E37" s="12" t="s">
        <v>34</v>
      </c>
      <c r="F37" s="12" t="s">
        <v>35</v>
      </c>
      <c r="G37" s="12" t="s">
        <v>34</v>
      </c>
      <c r="H37" s="12" t="s">
        <v>36</v>
      </c>
      <c r="I37" s="11" t="s">
        <v>168</v>
      </c>
      <c r="J37" s="12" t="s">
        <v>169</v>
      </c>
      <c r="K37" s="13" t="s">
        <v>161</v>
      </c>
      <c r="L37" s="11" t="str">
        <f>"000245"</f>
        <v>000245</v>
      </c>
      <c r="M37" s="10">
        <v>43169</v>
      </c>
      <c r="N37" s="11" t="str">
        <f>"000103"</f>
        <v>000103</v>
      </c>
      <c r="O37" s="10">
        <v>43312</v>
      </c>
      <c r="P37" s="11" t="str">
        <f>"000137"</f>
        <v>000137</v>
      </c>
      <c r="Q37" s="10">
        <v>43329</v>
      </c>
      <c r="R37" s="11">
        <v>18</v>
      </c>
      <c r="S37" s="11" t="str">
        <f>"007326"</f>
        <v>007326</v>
      </c>
      <c r="T37" s="10">
        <v>43418</v>
      </c>
      <c r="U37" s="14">
        <v>18.401720000000001</v>
      </c>
      <c r="V37" s="14">
        <v>1.6249</v>
      </c>
      <c r="W37" s="14">
        <v>16.776820000000001</v>
      </c>
      <c r="X37" s="11">
        <v>269</v>
      </c>
      <c r="Y37" s="10">
        <v>43421</v>
      </c>
      <c r="Z37" s="11">
        <v>8022975610</v>
      </c>
      <c r="AA37" s="12" t="s">
        <v>170</v>
      </c>
      <c r="AB37" s="11" t="s">
        <v>163</v>
      </c>
      <c r="AC37" s="12" t="s">
        <v>164</v>
      </c>
      <c r="AD37" s="11" t="s">
        <v>43</v>
      </c>
      <c r="AE37" s="12" t="s">
        <v>44</v>
      </c>
      <c r="AF37" s="14">
        <f t="shared" si="0"/>
        <v>0.18401720000000002</v>
      </c>
      <c r="AG37" s="11" t="s">
        <v>140</v>
      </c>
    </row>
    <row r="38" spans="1:33" x14ac:dyDescent="0.2">
      <c r="A38" s="8">
        <v>7302</v>
      </c>
      <c r="B38" s="9" t="s">
        <v>158</v>
      </c>
      <c r="C38" s="10">
        <v>43421</v>
      </c>
      <c r="D38" s="11">
        <v>45</v>
      </c>
      <c r="E38" s="12" t="s">
        <v>34</v>
      </c>
      <c r="F38" s="12" t="s">
        <v>35</v>
      </c>
      <c r="G38" s="12" t="s">
        <v>34</v>
      </c>
      <c r="H38" s="12" t="s">
        <v>36</v>
      </c>
      <c r="I38" s="11" t="s">
        <v>171</v>
      </c>
      <c r="J38" s="12" t="s">
        <v>172</v>
      </c>
      <c r="K38" s="13" t="s">
        <v>161</v>
      </c>
      <c r="L38" s="11" t="str">
        <f>"000244"</f>
        <v>000244</v>
      </c>
      <c r="M38" s="10">
        <v>43169</v>
      </c>
      <c r="N38" s="11" t="str">
        <f>"000100"</f>
        <v>000100</v>
      </c>
      <c r="O38" s="10">
        <v>43311</v>
      </c>
      <c r="P38" s="11" t="str">
        <f>"000140"</f>
        <v>000140</v>
      </c>
      <c r="Q38" s="10">
        <v>43329</v>
      </c>
      <c r="R38" s="11">
        <v>18</v>
      </c>
      <c r="S38" s="11" t="str">
        <f>"007327"</f>
        <v>007327</v>
      </c>
      <c r="T38" s="10">
        <v>43418</v>
      </c>
      <c r="U38" s="14">
        <v>18.049910000000001</v>
      </c>
      <c r="V38" s="14">
        <v>1.59375</v>
      </c>
      <c r="W38" s="14">
        <v>16.456160000000001</v>
      </c>
      <c r="X38" s="11">
        <v>269</v>
      </c>
      <c r="Y38" s="10">
        <v>43421</v>
      </c>
      <c r="Z38" s="11">
        <v>8022975610</v>
      </c>
      <c r="AA38" s="12" t="s">
        <v>162</v>
      </c>
      <c r="AB38" s="11" t="s">
        <v>163</v>
      </c>
      <c r="AC38" s="12" t="s">
        <v>164</v>
      </c>
      <c r="AD38" s="11" t="s">
        <v>43</v>
      </c>
      <c r="AE38" s="12" t="s">
        <v>44</v>
      </c>
      <c r="AF38" s="14">
        <f t="shared" si="0"/>
        <v>0.1804991</v>
      </c>
      <c r="AG38" s="11" t="s">
        <v>140</v>
      </c>
    </row>
    <row r="39" spans="1:33" x14ac:dyDescent="0.2">
      <c r="A39" s="8">
        <v>7303</v>
      </c>
      <c r="B39" s="9" t="s">
        <v>158</v>
      </c>
      <c r="C39" s="10">
        <v>43421</v>
      </c>
      <c r="D39" s="11">
        <v>45</v>
      </c>
      <c r="E39" s="12" t="s">
        <v>34</v>
      </c>
      <c r="F39" s="12" t="s">
        <v>35</v>
      </c>
      <c r="G39" s="12" t="s">
        <v>34</v>
      </c>
      <c r="H39" s="12" t="s">
        <v>36</v>
      </c>
      <c r="I39" s="11" t="s">
        <v>173</v>
      </c>
      <c r="J39" s="12" t="s">
        <v>174</v>
      </c>
      <c r="K39" s="13" t="s">
        <v>161</v>
      </c>
      <c r="L39" s="11" t="str">
        <f>"000249"</f>
        <v>000249</v>
      </c>
      <c r="M39" s="10">
        <v>43169</v>
      </c>
      <c r="N39" s="11" t="str">
        <f>"000101"</f>
        <v>000101</v>
      </c>
      <c r="O39" s="10">
        <v>43311</v>
      </c>
      <c r="P39" s="11" t="str">
        <f>"000136"</f>
        <v>000136</v>
      </c>
      <c r="Q39" s="10">
        <v>43329</v>
      </c>
      <c r="R39" s="11">
        <v>18</v>
      </c>
      <c r="S39" s="11" t="str">
        <f>"007328"</f>
        <v>007328</v>
      </c>
      <c r="T39" s="10">
        <v>43418</v>
      </c>
      <c r="U39" s="14">
        <v>18.268070000000002</v>
      </c>
      <c r="V39" s="14">
        <v>1.6131</v>
      </c>
      <c r="W39" s="14">
        <v>16.654969999999999</v>
      </c>
      <c r="X39" s="11">
        <v>269</v>
      </c>
      <c r="Y39" s="10">
        <v>43421</v>
      </c>
      <c r="Z39" s="11">
        <v>8022975610</v>
      </c>
      <c r="AA39" s="12" t="s">
        <v>147</v>
      </c>
      <c r="AB39" s="11" t="s">
        <v>163</v>
      </c>
      <c r="AC39" s="12" t="s">
        <v>164</v>
      </c>
      <c r="AD39" s="11" t="s">
        <v>43</v>
      </c>
      <c r="AE39" s="12" t="s">
        <v>44</v>
      </c>
      <c r="AF39" s="14">
        <f t="shared" si="0"/>
        <v>0.18268070000000003</v>
      </c>
      <c r="AG39" s="11" t="s">
        <v>140</v>
      </c>
    </row>
    <row r="40" spans="1:33" x14ac:dyDescent="0.2">
      <c r="A40" s="8">
        <v>7315</v>
      </c>
      <c r="B40" s="9" t="s">
        <v>158</v>
      </c>
      <c r="C40" s="10">
        <v>43424</v>
      </c>
      <c r="D40" s="11">
        <v>45</v>
      </c>
      <c r="E40" s="12" t="s">
        <v>34</v>
      </c>
      <c r="F40" s="12" t="s">
        <v>35</v>
      </c>
      <c r="G40" s="12" t="s">
        <v>34</v>
      </c>
      <c r="H40" s="12" t="s">
        <v>36</v>
      </c>
      <c r="I40" s="11" t="s">
        <v>175</v>
      </c>
      <c r="J40" s="12" t="s">
        <v>176</v>
      </c>
      <c r="K40" s="13" t="s">
        <v>177</v>
      </c>
      <c r="L40" s="11" t="str">
        <f>"000089"</f>
        <v>000089</v>
      </c>
      <c r="M40" s="10">
        <v>43249</v>
      </c>
      <c r="N40" s="11" t="str">
        <f>"000059"</f>
        <v>000059</v>
      </c>
      <c r="O40" s="10">
        <v>43249</v>
      </c>
      <c r="P40" s="11" t="str">
        <f>"000042"</f>
        <v>000042</v>
      </c>
      <c r="Q40" s="10">
        <v>43252</v>
      </c>
      <c r="R40" s="11">
        <v>18</v>
      </c>
      <c r="S40" s="11" t="str">
        <f>"007227"</f>
        <v>007227</v>
      </c>
      <c r="T40" s="10">
        <v>43404</v>
      </c>
      <c r="U40" s="14">
        <v>9.4401799999999998</v>
      </c>
      <c r="V40" s="14">
        <v>1.05776</v>
      </c>
      <c r="W40" s="14">
        <v>8.3824199999999998</v>
      </c>
      <c r="X40" s="11">
        <v>271</v>
      </c>
      <c r="Y40" s="10">
        <v>43424</v>
      </c>
      <c r="Z40" s="11">
        <v>8022975610</v>
      </c>
      <c r="AA40" s="12" t="s">
        <v>167</v>
      </c>
      <c r="AB40" s="11" t="s">
        <v>133</v>
      </c>
      <c r="AC40" s="12" t="s">
        <v>134</v>
      </c>
      <c r="AD40" s="11" t="s">
        <v>43</v>
      </c>
      <c r="AE40" s="12" t="s">
        <v>44</v>
      </c>
      <c r="AF40" s="14">
        <f t="shared" si="0"/>
        <v>9.4401799999999994E-2</v>
      </c>
      <c r="AG40" s="11" t="s">
        <v>98</v>
      </c>
    </row>
    <row r="41" spans="1:33" x14ac:dyDescent="0.2">
      <c r="A41" s="8">
        <v>7496</v>
      </c>
      <c r="B41" s="9" t="s">
        <v>178</v>
      </c>
      <c r="C41" s="10">
        <v>43437</v>
      </c>
      <c r="D41" s="11">
        <v>45</v>
      </c>
      <c r="E41" s="12" t="s">
        <v>34</v>
      </c>
      <c r="F41" s="12" t="s">
        <v>35</v>
      </c>
      <c r="G41" s="12" t="s">
        <v>34</v>
      </c>
      <c r="H41" s="12" t="s">
        <v>36</v>
      </c>
      <c r="I41" s="11" t="s">
        <v>179</v>
      </c>
      <c r="J41" s="12" t="s">
        <v>180</v>
      </c>
      <c r="K41" s="13" t="s">
        <v>48</v>
      </c>
      <c r="L41" s="11" t="str">
        <f>"000076"</f>
        <v>000076</v>
      </c>
      <c r="M41" s="10">
        <v>42038</v>
      </c>
      <c r="N41" s="11" t="str">
        <f>"000027"</f>
        <v>000027</v>
      </c>
      <c r="O41" s="10">
        <v>42886</v>
      </c>
      <c r="P41" s="11" t="str">
        <f>"000056"</f>
        <v>000056</v>
      </c>
      <c r="Q41" s="10">
        <v>42886</v>
      </c>
      <c r="R41" s="11">
        <v>15</v>
      </c>
      <c r="S41" s="11" t="str">
        <f>"007453"</f>
        <v>007453</v>
      </c>
      <c r="T41" s="10">
        <v>43421</v>
      </c>
      <c r="U41" s="14">
        <v>17.379470000000001</v>
      </c>
      <c r="V41" s="14">
        <v>2.4757500000000001</v>
      </c>
      <c r="W41" s="14">
        <v>14.90372</v>
      </c>
      <c r="X41" s="11">
        <v>279</v>
      </c>
      <c r="Y41" s="10">
        <v>43437</v>
      </c>
      <c r="Z41" s="11">
        <v>8022975610</v>
      </c>
      <c r="AA41" s="12" t="s">
        <v>40</v>
      </c>
      <c r="AB41" s="11" t="s">
        <v>41</v>
      </c>
      <c r="AC41" s="12" t="s">
        <v>42</v>
      </c>
      <c r="AD41" s="11" t="s">
        <v>43</v>
      </c>
      <c r="AE41" s="12" t="s">
        <v>44</v>
      </c>
      <c r="AF41" s="14">
        <f t="shared" si="0"/>
        <v>0.17379470000000002</v>
      </c>
      <c r="AG41" s="11" t="s">
        <v>45</v>
      </c>
    </row>
    <row r="42" spans="1:33" x14ac:dyDescent="0.2">
      <c r="A42" s="8">
        <v>7497</v>
      </c>
      <c r="B42" s="9" t="s">
        <v>178</v>
      </c>
      <c r="C42" s="10">
        <v>43437</v>
      </c>
      <c r="D42" s="11">
        <v>45</v>
      </c>
      <c r="E42" s="12" t="s">
        <v>34</v>
      </c>
      <c r="F42" s="12" t="s">
        <v>35</v>
      </c>
      <c r="G42" s="12" t="s">
        <v>34</v>
      </c>
      <c r="H42" s="12" t="s">
        <v>36</v>
      </c>
      <c r="I42" s="11" t="s">
        <v>181</v>
      </c>
      <c r="J42" s="12" t="s">
        <v>182</v>
      </c>
      <c r="K42" s="13" t="s">
        <v>39</v>
      </c>
      <c r="L42" s="11" t="str">
        <f>"00014A"</f>
        <v>00014A</v>
      </c>
      <c r="M42" s="10">
        <v>42122</v>
      </c>
      <c r="N42" s="11" t="str">
        <f>"000026"</f>
        <v>000026</v>
      </c>
      <c r="O42" s="10">
        <v>42886</v>
      </c>
      <c r="P42" s="11" t="str">
        <f>"000057"</f>
        <v>000057</v>
      </c>
      <c r="Q42" s="10">
        <v>42886</v>
      </c>
      <c r="R42" s="11">
        <v>15</v>
      </c>
      <c r="S42" s="11" t="str">
        <f>"007454"</f>
        <v>007454</v>
      </c>
      <c r="T42" s="10">
        <v>43421</v>
      </c>
      <c r="U42" s="14">
        <v>19.990410000000001</v>
      </c>
      <c r="V42" s="14">
        <v>2.6077499999999998</v>
      </c>
      <c r="W42" s="14">
        <v>17.382660000000001</v>
      </c>
      <c r="X42" s="11">
        <v>279</v>
      </c>
      <c r="Y42" s="10">
        <v>43437</v>
      </c>
      <c r="Z42" s="11">
        <v>8022975610</v>
      </c>
      <c r="AA42" s="12" t="s">
        <v>183</v>
      </c>
      <c r="AB42" s="11" t="s">
        <v>41</v>
      </c>
      <c r="AC42" s="12" t="s">
        <v>42</v>
      </c>
      <c r="AD42" s="11" t="s">
        <v>43</v>
      </c>
      <c r="AE42" s="12" t="s">
        <v>44</v>
      </c>
      <c r="AF42" s="14">
        <f t="shared" si="0"/>
        <v>0.1999041</v>
      </c>
      <c r="AG42" s="11" t="s">
        <v>45</v>
      </c>
    </row>
    <row r="43" spans="1:33" x14ac:dyDescent="0.2">
      <c r="A43" s="8">
        <v>7625</v>
      </c>
      <c r="B43" s="9" t="s">
        <v>178</v>
      </c>
      <c r="C43" s="10">
        <v>43438</v>
      </c>
      <c r="D43" s="11">
        <v>45</v>
      </c>
      <c r="E43" s="12" t="s">
        <v>34</v>
      </c>
      <c r="F43" s="12" t="s">
        <v>35</v>
      </c>
      <c r="G43" s="12" t="s">
        <v>34</v>
      </c>
      <c r="H43" s="12" t="s">
        <v>36</v>
      </c>
      <c r="I43" s="11" t="s">
        <v>184</v>
      </c>
      <c r="J43" s="12" t="s">
        <v>185</v>
      </c>
      <c r="K43" s="15" t="s">
        <v>84</v>
      </c>
      <c r="L43" s="11" t="str">
        <f>"000247"</f>
        <v>000247</v>
      </c>
      <c r="M43" s="10">
        <v>43191</v>
      </c>
      <c r="N43" s="11" t="str">
        <f>"000105"</f>
        <v>000105</v>
      </c>
      <c r="O43" s="10">
        <v>43312</v>
      </c>
      <c r="P43" s="11" t="str">
        <f>""</f>
        <v/>
      </c>
      <c r="Q43" s="10"/>
      <c r="R43" s="11">
        <v>18</v>
      </c>
      <c r="S43" s="11" t="str">
        <f>""</f>
        <v/>
      </c>
      <c r="T43" s="10"/>
      <c r="U43" s="14">
        <v>24.123760000000001</v>
      </c>
      <c r="V43" s="14">
        <v>0.86119999999999997</v>
      </c>
      <c r="W43" s="14">
        <v>23.262560000000001</v>
      </c>
      <c r="X43" s="11">
        <v>285</v>
      </c>
      <c r="Y43" s="10">
        <v>43438</v>
      </c>
      <c r="Z43" s="11">
        <v>8022975610</v>
      </c>
      <c r="AA43" s="12" t="s">
        <v>167</v>
      </c>
      <c r="AB43" s="11" t="s">
        <v>163</v>
      </c>
      <c r="AC43" s="12" t="s">
        <v>164</v>
      </c>
      <c r="AD43" s="11" t="s">
        <v>43</v>
      </c>
      <c r="AE43" s="12" t="s">
        <v>44</v>
      </c>
      <c r="AF43" s="14">
        <f t="shared" si="0"/>
        <v>0.2412376</v>
      </c>
      <c r="AG43" s="11" t="s">
        <v>140</v>
      </c>
    </row>
    <row r="44" spans="1:33" x14ac:dyDescent="0.2">
      <c r="A44" s="8">
        <v>7715</v>
      </c>
      <c r="B44" s="9" t="s">
        <v>178</v>
      </c>
      <c r="C44" s="10">
        <v>43448</v>
      </c>
      <c r="D44" s="11">
        <v>45</v>
      </c>
      <c r="E44" s="12" t="s">
        <v>34</v>
      </c>
      <c r="F44" s="12" t="s">
        <v>35</v>
      </c>
      <c r="G44" s="12" t="s">
        <v>34</v>
      </c>
      <c r="H44" s="12" t="s">
        <v>36</v>
      </c>
      <c r="I44" s="11" t="s">
        <v>186</v>
      </c>
      <c r="J44" s="12" t="s">
        <v>187</v>
      </c>
      <c r="K44" s="13" t="s">
        <v>63</v>
      </c>
      <c r="L44" s="11" t="str">
        <f>"000032"</f>
        <v>000032</v>
      </c>
      <c r="M44" s="10">
        <v>43023</v>
      </c>
      <c r="N44" s="11" t="str">
        <f>"000015"</f>
        <v>000015</v>
      </c>
      <c r="O44" s="10">
        <v>43038</v>
      </c>
      <c r="P44" s="11" t="str">
        <f>"000027"</f>
        <v>000027</v>
      </c>
      <c r="Q44" s="10">
        <v>43039</v>
      </c>
      <c r="R44" s="11">
        <v>13</v>
      </c>
      <c r="S44" s="11" t="str">
        <f>"007884"</f>
        <v>007884</v>
      </c>
      <c r="T44" s="10">
        <v>43445</v>
      </c>
      <c r="U44" s="14">
        <v>5.4980000000000002</v>
      </c>
      <c r="V44" s="14">
        <v>0.82371000000000005</v>
      </c>
      <c r="W44" s="14">
        <v>4.6742900000000001</v>
      </c>
      <c r="X44" s="11">
        <v>292</v>
      </c>
      <c r="Y44" s="10">
        <v>43448</v>
      </c>
      <c r="Z44" s="11">
        <v>9916479734</v>
      </c>
      <c r="AA44" s="12" t="s">
        <v>162</v>
      </c>
      <c r="AB44" s="11" t="s">
        <v>188</v>
      </c>
      <c r="AC44" s="12" t="s">
        <v>189</v>
      </c>
      <c r="AD44" s="11" t="s">
        <v>43</v>
      </c>
      <c r="AE44" s="12" t="s">
        <v>44</v>
      </c>
      <c r="AF44" s="14">
        <f t="shared" si="0"/>
        <v>5.4980000000000001E-2</v>
      </c>
      <c r="AG44" s="11" t="s">
        <v>45</v>
      </c>
    </row>
    <row r="45" spans="1:33" x14ac:dyDescent="0.2">
      <c r="A45" s="8">
        <v>7981</v>
      </c>
      <c r="B45" s="9" t="s">
        <v>178</v>
      </c>
      <c r="C45" s="10">
        <v>43455</v>
      </c>
      <c r="D45" s="11">
        <v>45</v>
      </c>
      <c r="E45" s="12" t="s">
        <v>34</v>
      </c>
      <c r="F45" s="12" t="s">
        <v>35</v>
      </c>
      <c r="G45" s="12" t="s">
        <v>34</v>
      </c>
      <c r="H45" s="12" t="s">
        <v>36</v>
      </c>
      <c r="I45" s="11" t="s">
        <v>190</v>
      </c>
      <c r="J45" s="12" t="s">
        <v>191</v>
      </c>
      <c r="K45" s="13" t="s">
        <v>39</v>
      </c>
      <c r="L45" s="11" t="str">
        <f>"000055"</f>
        <v>000055</v>
      </c>
      <c r="M45" s="10">
        <v>41564</v>
      </c>
      <c r="N45" s="11" t="str">
        <f>"000136"</f>
        <v>000136</v>
      </c>
      <c r="O45" s="10">
        <v>42887</v>
      </c>
      <c r="P45" s="11" t="str">
        <f>"000246"</f>
        <v>000246</v>
      </c>
      <c r="Q45" s="10">
        <v>42887</v>
      </c>
      <c r="R45" s="11">
        <v>13</v>
      </c>
      <c r="S45" s="11" t="str">
        <f>"008112"</f>
        <v>008112</v>
      </c>
      <c r="T45" s="10">
        <v>43454</v>
      </c>
      <c r="U45" s="14">
        <v>1.0425599999999999</v>
      </c>
      <c r="V45" s="14">
        <v>0.12615000000000001</v>
      </c>
      <c r="W45" s="14">
        <v>0.91640999999999995</v>
      </c>
      <c r="X45" s="11">
        <v>301</v>
      </c>
      <c r="Y45" s="10">
        <v>43455</v>
      </c>
      <c r="Z45" s="11">
        <v>9901967054</v>
      </c>
      <c r="AA45" s="12" t="s">
        <v>192</v>
      </c>
      <c r="AB45" s="11" t="s">
        <v>193</v>
      </c>
      <c r="AC45" s="12" t="s">
        <v>194</v>
      </c>
      <c r="AD45" s="11" t="s">
        <v>91</v>
      </c>
      <c r="AE45" s="12" t="s">
        <v>92</v>
      </c>
      <c r="AF45" s="14">
        <f t="shared" si="0"/>
        <v>1.04256E-2</v>
      </c>
      <c r="AG45" s="11" t="s">
        <v>45</v>
      </c>
    </row>
    <row r="46" spans="1:33" x14ac:dyDescent="0.2">
      <c r="A46" s="8">
        <v>7982</v>
      </c>
      <c r="B46" s="9" t="s">
        <v>178</v>
      </c>
      <c r="C46" s="10">
        <v>43455</v>
      </c>
      <c r="D46" s="11">
        <v>45</v>
      </c>
      <c r="E46" s="12" t="s">
        <v>34</v>
      </c>
      <c r="F46" s="12" t="s">
        <v>35</v>
      </c>
      <c r="G46" s="12" t="s">
        <v>34</v>
      </c>
      <c r="H46" s="12" t="s">
        <v>36</v>
      </c>
      <c r="I46" s="11" t="s">
        <v>195</v>
      </c>
      <c r="J46" s="12" t="s">
        <v>196</v>
      </c>
      <c r="K46" s="13" t="s">
        <v>39</v>
      </c>
      <c r="L46" s="11" t="str">
        <f>"000119"</f>
        <v>000119</v>
      </c>
      <c r="M46" s="10">
        <v>42804</v>
      </c>
      <c r="N46" s="11" t="str">
        <f>"000038"</f>
        <v>000038</v>
      </c>
      <c r="O46" s="10">
        <v>42886</v>
      </c>
      <c r="P46" s="11" t="str">
        <f>"000069"</f>
        <v>000069</v>
      </c>
      <c r="Q46" s="10">
        <v>42895</v>
      </c>
      <c r="R46" s="11">
        <v>17</v>
      </c>
      <c r="S46" s="11" t="str">
        <f>"008113"</f>
        <v>008113</v>
      </c>
      <c r="T46" s="10">
        <v>43454</v>
      </c>
      <c r="U46" s="14">
        <v>4.3146899999999997</v>
      </c>
      <c r="V46" s="14">
        <v>0.34140999999999999</v>
      </c>
      <c r="W46" s="14">
        <v>3.9732799999999999</v>
      </c>
      <c r="X46" s="11">
        <v>301</v>
      </c>
      <c r="Y46" s="10">
        <v>43455</v>
      </c>
      <c r="Z46" s="11">
        <v>8022975610</v>
      </c>
      <c r="AA46" s="12" t="s">
        <v>197</v>
      </c>
      <c r="AB46" s="11" t="s">
        <v>41</v>
      </c>
      <c r="AC46" s="12" t="s">
        <v>42</v>
      </c>
      <c r="AD46" s="11" t="s">
        <v>43</v>
      </c>
      <c r="AE46" s="12" t="s">
        <v>44</v>
      </c>
      <c r="AF46" s="14">
        <f t="shared" si="0"/>
        <v>4.3146899999999995E-2</v>
      </c>
      <c r="AG46" s="11" t="s">
        <v>45</v>
      </c>
    </row>
    <row r="47" spans="1:33" x14ac:dyDescent="0.2">
      <c r="A47" s="8">
        <v>8612</v>
      </c>
      <c r="B47" s="9" t="s">
        <v>198</v>
      </c>
      <c r="C47" s="10">
        <v>43481</v>
      </c>
      <c r="D47" s="11">
        <v>45</v>
      </c>
      <c r="E47" s="12" t="s">
        <v>34</v>
      </c>
      <c r="F47" s="12" t="s">
        <v>35</v>
      </c>
      <c r="G47" s="12" t="s">
        <v>34</v>
      </c>
      <c r="H47" s="12" t="s">
        <v>36</v>
      </c>
      <c r="I47" s="11" t="s">
        <v>199</v>
      </c>
      <c r="J47" s="12" t="s">
        <v>200</v>
      </c>
      <c r="K47" s="13" t="s">
        <v>48</v>
      </c>
      <c r="L47" s="11" t="str">
        <f>"000308"</f>
        <v>000308</v>
      </c>
      <c r="M47" s="10">
        <v>43411</v>
      </c>
      <c r="N47" s="11" t="str">
        <f>"000158"</f>
        <v>000158</v>
      </c>
      <c r="O47" s="10">
        <v>43413</v>
      </c>
      <c r="P47" s="11" t="str">
        <f>"000216"</f>
        <v>000216</v>
      </c>
      <c r="Q47" s="10">
        <v>43428</v>
      </c>
      <c r="R47" s="11"/>
      <c r="S47" s="11" t="str">
        <f>"008724"</f>
        <v>008724</v>
      </c>
      <c r="T47" s="10">
        <v>43477</v>
      </c>
      <c r="U47" s="14">
        <v>11.85397</v>
      </c>
      <c r="V47" s="14">
        <v>0.52329999999999999</v>
      </c>
      <c r="W47" s="14">
        <v>11.33067</v>
      </c>
      <c r="X47" s="11">
        <v>324</v>
      </c>
      <c r="Y47" s="10">
        <v>43481</v>
      </c>
      <c r="Z47" s="11">
        <v>8022975610</v>
      </c>
      <c r="AA47" s="12" t="s">
        <v>201</v>
      </c>
      <c r="AB47" s="11" t="s">
        <v>156</v>
      </c>
      <c r="AC47" s="12" t="s">
        <v>157</v>
      </c>
      <c r="AD47" s="11" t="s">
        <v>43</v>
      </c>
      <c r="AE47" s="12" t="s">
        <v>44</v>
      </c>
      <c r="AF47" s="14">
        <f t="shared" si="0"/>
        <v>0.1185397</v>
      </c>
      <c r="AG47" s="11" t="s">
        <v>98</v>
      </c>
    </row>
    <row r="48" spans="1:33" x14ac:dyDescent="0.2">
      <c r="A48" s="8">
        <v>9291</v>
      </c>
      <c r="B48" s="9" t="s">
        <v>202</v>
      </c>
      <c r="C48" s="10">
        <v>43521</v>
      </c>
      <c r="D48" s="11">
        <v>45</v>
      </c>
      <c r="E48" s="12" t="s">
        <v>34</v>
      </c>
      <c r="F48" s="12" t="s">
        <v>35</v>
      </c>
      <c r="G48" s="12" t="s">
        <v>34</v>
      </c>
      <c r="H48" s="12" t="s">
        <v>36</v>
      </c>
      <c r="I48" s="11" t="s">
        <v>203</v>
      </c>
      <c r="J48" s="12" t="s">
        <v>204</v>
      </c>
      <c r="K48" s="13" t="s">
        <v>48</v>
      </c>
      <c r="L48" s="11" t="str">
        <f>"000012"</f>
        <v>000012</v>
      </c>
      <c r="M48" s="10">
        <v>42891</v>
      </c>
      <c r="N48" s="11" t="str">
        <f>"000069"</f>
        <v>000069</v>
      </c>
      <c r="O48" s="10">
        <v>43110</v>
      </c>
      <c r="P48" s="11" t="str">
        <f>"000097"</f>
        <v>000097</v>
      </c>
      <c r="Q48" s="10">
        <v>43110</v>
      </c>
      <c r="R48" s="11"/>
      <c r="S48" s="11" t="str">
        <f>"009325"</f>
        <v>009325</v>
      </c>
      <c r="T48" s="10">
        <v>43517</v>
      </c>
      <c r="U48" s="14">
        <v>8.4540699999999998</v>
      </c>
      <c r="V48" s="14">
        <v>1.0924400000000001</v>
      </c>
      <c r="W48" s="14">
        <v>7.3616299999999999</v>
      </c>
      <c r="X48" s="11">
        <v>358</v>
      </c>
      <c r="Y48" s="10">
        <v>43521</v>
      </c>
      <c r="Z48" s="11">
        <v>9900333498</v>
      </c>
      <c r="AA48" s="12" t="s">
        <v>205</v>
      </c>
      <c r="AB48" s="11" t="s">
        <v>53</v>
      </c>
      <c r="AC48" s="12" t="s">
        <v>54</v>
      </c>
      <c r="AD48" s="11" t="s">
        <v>91</v>
      </c>
      <c r="AE48" s="12" t="s">
        <v>92</v>
      </c>
      <c r="AF48" s="14">
        <f t="shared" si="0"/>
        <v>8.4540699999999996E-2</v>
      </c>
      <c r="AG48" s="11" t="s">
        <v>45</v>
      </c>
    </row>
    <row r="49" spans="1:33" x14ac:dyDescent="0.2">
      <c r="A49" s="8">
        <v>9292</v>
      </c>
      <c r="B49" s="9" t="s">
        <v>202</v>
      </c>
      <c r="C49" s="10">
        <v>43521</v>
      </c>
      <c r="D49" s="11">
        <v>45</v>
      </c>
      <c r="E49" s="12" t="s">
        <v>34</v>
      </c>
      <c r="F49" s="12" t="s">
        <v>35</v>
      </c>
      <c r="G49" s="12" t="s">
        <v>34</v>
      </c>
      <c r="H49" s="12" t="s">
        <v>36</v>
      </c>
      <c r="I49" s="11" t="s">
        <v>206</v>
      </c>
      <c r="J49" s="12" t="s">
        <v>207</v>
      </c>
      <c r="K49" s="13" t="s">
        <v>48</v>
      </c>
      <c r="L49" s="11" t="str">
        <f>"O00013"</f>
        <v>O00013</v>
      </c>
      <c r="M49" s="10">
        <v>42891</v>
      </c>
      <c r="N49" s="11" t="str">
        <f>"000070"</f>
        <v>000070</v>
      </c>
      <c r="O49" s="10">
        <v>43110</v>
      </c>
      <c r="P49" s="11" t="str">
        <f>"000098"</f>
        <v>000098</v>
      </c>
      <c r="Q49" s="10">
        <v>43110</v>
      </c>
      <c r="R49" s="11"/>
      <c r="S49" s="11" t="str">
        <f>"009326"</f>
        <v>009326</v>
      </c>
      <c r="T49" s="10">
        <v>43517</v>
      </c>
      <c r="U49" s="14">
        <v>8.6797000000000004</v>
      </c>
      <c r="V49" s="14">
        <v>1.12015</v>
      </c>
      <c r="W49" s="14">
        <v>7.5595499999999998</v>
      </c>
      <c r="X49" s="11">
        <v>358</v>
      </c>
      <c r="Y49" s="10">
        <v>43521</v>
      </c>
      <c r="Z49" s="11">
        <v>9900333498</v>
      </c>
      <c r="AA49" s="12" t="s">
        <v>208</v>
      </c>
      <c r="AB49" s="11" t="s">
        <v>53</v>
      </c>
      <c r="AC49" s="12" t="s">
        <v>54</v>
      </c>
      <c r="AD49" s="11" t="s">
        <v>91</v>
      </c>
      <c r="AE49" s="12" t="s">
        <v>92</v>
      </c>
      <c r="AF49" s="14">
        <f t="shared" si="0"/>
        <v>8.6796999999999999E-2</v>
      </c>
      <c r="AG49" s="11" t="s">
        <v>45</v>
      </c>
    </row>
    <row r="50" spans="1:33" x14ac:dyDescent="0.2">
      <c r="A50" s="8">
        <v>9293</v>
      </c>
      <c r="B50" s="9" t="s">
        <v>202</v>
      </c>
      <c r="C50" s="10">
        <v>43521</v>
      </c>
      <c r="D50" s="11">
        <v>45</v>
      </c>
      <c r="E50" s="12" t="s">
        <v>34</v>
      </c>
      <c r="F50" s="12" t="s">
        <v>35</v>
      </c>
      <c r="G50" s="12" t="s">
        <v>34</v>
      </c>
      <c r="H50" s="12" t="s">
        <v>36</v>
      </c>
      <c r="I50" s="11" t="s">
        <v>209</v>
      </c>
      <c r="J50" s="12" t="s">
        <v>210</v>
      </c>
      <c r="K50" s="13" t="s">
        <v>48</v>
      </c>
      <c r="L50" s="11" t="str">
        <f>"000011"</f>
        <v>000011</v>
      </c>
      <c r="M50" s="10">
        <v>42908</v>
      </c>
      <c r="N50" s="11" t="str">
        <f>"000071"</f>
        <v>000071</v>
      </c>
      <c r="O50" s="10">
        <v>43111</v>
      </c>
      <c r="P50" s="11" t="str">
        <f>"000099"</f>
        <v>000099</v>
      </c>
      <c r="Q50" s="10">
        <v>43111</v>
      </c>
      <c r="R50" s="11"/>
      <c r="S50" s="11" t="str">
        <f>"009327"</f>
        <v>009327</v>
      </c>
      <c r="T50" s="10">
        <v>43517</v>
      </c>
      <c r="U50" s="14">
        <v>8.3678799999999995</v>
      </c>
      <c r="V50" s="14">
        <v>1.08223</v>
      </c>
      <c r="W50" s="14">
        <v>7.2856500000000004</v>
      </c>
      <c r="X50" s="11">
        <v>358</v>
      </c>
      <c r="Y50" s="10">
        <v>43521</v>
      </c>
      <c r="Z50" s="11">
        <v>9900333496</v>
      </c>
      <c r="AA50" s="12" t="s">
        <v>211</v>
      </c>
      <c r="AB50" s="11" t="s">
        <v>53</v>
      </c>
      <c r="AC50" s="12" t="s">
        <v>54</v>
      </c>
      <c r="AD50" s="11" t="s">
        <v>91</v>
      </c>
      <c r="AE50" s="12" t="s">
        <v>92</v>
      </c>
      <c r="AF50" s="14">
        <f t="shared" si="0"/>
        <v>8.3678799999999998E-2</v>
      </c>
      <c r="AG50" s="11" t="s">
        <v>45</v>
      </c>
    </row>
    <row r="51" spans="1:33" x14ac:dyDescent="0.2">
      <c r="A51" s="8">
        <v>9396</v>
      </c>
      <c r="B51" s="9" t="s">
        <v>202</v>
      </c>
      <c r="C51" s="10">
        <v>43521</v>
      </c>
      <c r="D51" s="11">
        <v>45</v>
      </c>
      <c r="E51" s="12" t="s">
        <v>34</v>
      </c>
      <c r="F51" s="12" t="s">
        <v>35</v>
      </c>
      <c r="G51" s="12" t="s">
        <v>34</v>
      </c>
      <c r="H51" s="12" t="s">
        <v>36</v>
      </c>
      <c r="I51" s="11" t="s">
        <v>212</v>
      </c>
      <c r="J51" s="12" t="s">
        <v>213</v>
      </c>
      <c r="K51" s="13" t="s">
        <v>84</v>
      </c>
      <c r="L51" s="11" t="str">
        <f>"000261"</f>
        <v>000261</v>
      </c>
      <c r="M51" s="10">
        <v>43179</v>
      </c>
      <c r="N51" s="11" t="str">
        <f>"000010"</f>
        <v>000010</v>
      </c>
      <c r="O51" s="10">
        <v>43239</v>
      </c>
      <c r="P51" s="11" t="str">
        <f>"000011"</f>
        <v>000011</v>
      </c>
      <c r="Q51" s="10">
        <v>43248</v>
      </c>
      <c r="R51" s="11"/>
      <c r="S51" s="11" t="str">
        <f>"009416"</f>
        <v>009416</v>
      </c>
      <c r="T51" s="10">
        <v>43518</v>
      </c>
      <c r="U51" s="14">
        <v>6.0509199999999996</v>
      </c>
      <c r="V51" s="14">
        <v>0.67510000000000003</v>
      </c>
      <c r="W51" s="14">
        <v>5.37582</v>
      </c>
      <c r="X51" s="11">
        <v>360</v>
      </c>
      <c r="Y51" s="10">
        <v>43521</v>
      </c>
      <c r="Z51" s="11">
        <v>8022975610</v>
      </c>
      <c r="AA51" s="12" t="s">
        <v>214</v>
      </c>
      <c r="AB51" s="11" t="s">
        <v>215</v>
      </c>
      <c r="AC51" s="12" t="s">
        <v>216</v>
      </c>
      <c r="AD51" s="11" t="s">
        <v>43</v>
      </c>
      <c r="AE51" s="12" t="s">
        <v>44</v>
      </c>
      <c r="AF51" s="14">
        <f t="shared" si="0"/>
        <v>6.0509199999999999E-2</v>
      </c>
      <c r="AG51" s="11" t="s">
        <v>140</v>
      </c>
    </row>
    <row r="52" spans="1:33" x14ac:dyDescent="0.2">
      <c r="A52" s="8">
        <v>9754</v>
      </c>
      <c r="B52" s="9" t="s">
        <v>217</v>
      </c>
      <c r="C52" s="10">
        <v>43544</v>
      </c>
      <c r="D52" s="11">
        <v>45</v>
      </c>
      <c r="E52" s="12" t="s">
        <v>34</v>
      </c>
      <c r="F52" s="12" t="s">
        <v>35</v>
      </c>
      <c r="G52" s="12" t="s">
        <v>34</v>
      </c>
      <c r="H52" s="12" t="s">
        <v>36</v>
      </c>
      <c r="I52" s="11" t="s">
        <v>37</v>
      </c>
      <c r="J52" s="12" t="s">
        <v>38</v>
      </c>
      <c r="K52" s="13" t="s">
        <v>218</v>
      </c>
      <c r="L52" s="11" t="str">
        <f>"000019"</f>
        <v>000019</v>
      </c>
      <c r="M52" s="10">
        <v>42870</v>
      </c>
      <c r="N52" s="11" t="str">
        <f>"000055"</f>
        <v>000055</v>
      </c>
      <c r="O52" s="10">
        <v>43248</v>
      </c>
      <c r="P52" s="11" t="str">
        <f>"000015"</f>
        <v>000015</v>
      </c>
      <c r="Q52" s="10">
        <v>43249</v>
      </c>
      <c r="R52" s="11"/>
      <c r="S52" s="11" t="str">
        <f>"009803"</f>
        <v>009803</v>
      </c>
      <c r="T52" s="10">
        <v>43539</v>
      </c>
      <c r="U52" s="14">
        <v>1.2616499999999999</v>
      </c>
      <c r="V52" s="14">
        <v>7.1889999999999996E-2</v>
      </c>
      <c r="W52" s="14">
        <v>1.1897599999999999</v>
      </c>
      <c r="X52" s="11">
        <v>378</v>
      </c>
      <c r="Y52" s="10">
        <v>43544</v>
      </c>
      <c r="Z52" s="11">
        <v>9448274200</v>
      </c>
      <c r="AA52" s="12" t="s">
        <v>40</v>
      </c>
      <c r="AB52" s="11" t="s">
        <v>41</v>
      </c>
      <c r="AC52" s="12" t="s">
        <v>42</v>
      </c>
      <c r="AD52" s="11" t="s">
        <v>43</v>
      </c>
      <c r="AE52" s="12" t="s">
        <v>44</v>
      </c>
      <c r="AF52" s="14">
        <f t="shared" si="0"/>
        <v>1.2616499999999999E-2</v>
      </c>
      <c r="AG52" s="11" t="s">
        <v>140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2019-06-12T11:07:43Z</dcterms:modified>
</cp:coreProperties>
</file>