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8" i="1" l="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<sst xmlns="http://schemas.openxmlformats.org/spreadsheetml/2006/main" count="691" uniqueCount="210">
  <si>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</si>
  <si>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</si>
  <si>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</si>
  <si>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</si>
  <si>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</si>
  <si>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</si>
  <si>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</si>
  <si>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</si>
  <si>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</si>
  <si>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</si>
  <si>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</si>
  <si>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</si>
  <si>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</si>
  <si>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</si>
  <si>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</si>
  <si>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</si>
  <si>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</si>
  <si>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</si>
  <si>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</si>
  <si>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</si>
  <si>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</si>
  <si>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</si>
  <si>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</si>
  <si>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</si>
  <si>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</si>
  <si>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</si>
  <si>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</si>
  <si>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</si>
  <si>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</si>
  <si>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</si>
  <si>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</si>
  <si>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</si>
  <si>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</si>
  <si>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</si>
  <si>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Jakkuru</t>
  </si>
  <si>
    <t>Byatarayana Pura</t>
  </si>
  <si>
    <t>Yelahanka</t>
  </si>
  <si>
    <t>005-16-000043</t>
  </si>
  <si>
    <t>Consultancy Services for Preparation of DPR (Which includes Survey Designs, Drawing,Estimate etc.,) and for Project Management Consultancy for Package No.01 (package Consists of 23 Works of Rs.1100.00 lakhs)</t>
  </si>
  <si>
    <t>Other Ward Works</t>
  </si>
  <si>
    <t>M/s Tejus Consultants</t>
  </si>
  <si>
    <t>P3089</t>
  </si>
  <si>
    <t>Special Development works in 7 CMC and 1 TMC area in BBMP</t>
  </si>
  <si>
    <t>ddo226</t>
  </si>
  <si>
    <t xml:space="preserve"> Assistant Executive Engineer Dasarahalli Yelhanka Zone</t>
  </si>
  <si>
    <t>Pending</t>
  </si>
  <si>
    <t>005-16-000021</t>
  </si>
  <si>
    <t>Providing Remaining Sodium Lamps and Electrical Fittings at ward no 05 Byatarayanapura Sub Division</t>
  </si>
  <si>
    <t>Sri. Nagaraj Prof Of M/s Kranthi Electricals</t>
  </si>
  <si>
    <t>ddo617</t>
  </si>
  <si>
    <t xml:space="preserve"> Executive Engineer Electrical Yelhanka Zone</t>
  </si>
  <si>
    <t>005-16-000040</t>
  </si>
  <si>
    <t>Repairs to the Panel board and Shifting of High Mast in Byatarayanapura Constituency in ward No 5 to 11</t>
  </si>
  <si>
    <t>M/S Sri LakshmiVaradaraja Electrical Stores</t>
  </si>
  <si>
    <t>P0298</t>
  </si>
  <si>
    <t>M and R to Electrical Installations in Parks and Gardens, Playgrounds, Burial Grounds</t>
  </si>
  <si>
    <t>005-18-000078</t>
  </si>
  <si>
    <t>Improvements Road, Drain Removing resetting and Covering Slab in Ward No 05</t>
  </si>
  <si>
    <t>Footpaths &amp; Walkability</t>
  </si>
  <si>
    <t>Executive Engineer,Karnataka Rural Infrastructure Development Ltd</t>
  </si>
  <si>
    <t>P1878</t>
  </si>
  <si>
    <t>18per - Works (Bhagyajyothi, Sooru / Neeru Yojane and General) (54 Lakhs / New Wards)</t>
  </si>
  <si>
    <t>Spill Over</t>
  </si>
  <si>
    <t>005-14-000047</t>
  </si>
  <si>
    <t xml:space="preserve">Improvements to Road and Drains at Poojamahalakshmi layout Cross Road in ward No 05 in Thirumenhalli Village Limits </t>
  </si>
  <si>
    <t>Roads &amp; Drivablility</t>
  </si>
  <si>
    <t>B R Dhananjaya</t>
  </si>
  <si>
    <t>P2654</t>
  </si>
  <si>
    <t>Special Package for 110 Villages (Rs. 1 Crore Per Village)</t>
  </si>
  <si>
    <t>005-16-000026</t>
  </si>
  <si>
    <t>Pot Hole Filling and Road patch work in Sampigehalli Basavalingappanagara Balaji Kurpa layot MCECHS Layout Telecom Layout and others areas in Ward No 05 Byatarayanapura Sub Division</t>
  </si>
  <si>
    <t>B B Umesh</t>
  </si>
  <si>
    <t>P1771</t>
  </si>
  <si>
    <t>Zone Works - POW Works</t>
  </si>
  <si>
    <t>005-16-000025</t>
  </si>
  <si>
    <t>Pot Hole Filling and Road patch work in Kogilu Kogilu Layout Agrahara Agrahara layout Kattigenahalli palanahall Vinayakanagara Dwarakanagra and other areas in Ward No 05 Byatarayanapura Sub Division</t>
  </si>
  <si>
    <t>May</t>
  </si>
  <si>
    <t>005-16-000052</t>
  </si>
  <si>
    <t>Consultancy Services for Preparation of DPR (which includes Survey,Designs, Drawing, Estimate etc.,) for Package No.01 (package consists of 11 works of Rs.450.00 Lakhs)</t>
  </si>
  <si>
    <t>P3106</t>
  </si>
  <si>
    <t>Nagarothana Works</t>
  </si>
  <si>
    <t>005-16-000022</t>
  </si>
  <si>
    <t>Consultancy Services for preparation of detailed Survey, Designs, Drawings, Estimate, Bid Document, Bill of Quantities for the work of Improvements to roads and drains at balance portion of chokkanahalli road connecting Thanisandra main road to Sampigehalli in ward no.05, Byatarayanapura sub division</t>
  </si>
  <si>
    <t>G.N.Ramesh</t>
  </si>
  <si>
    <t>ddo235</t>
  </si>
  <si>
    <t xml:space="preserve"> Assistant Executive Engineer Project-1 Yelahanka Zone</t>
  </si>
  <si>
    <t>June</t>
  </si>
  <si>
    <t>005-17-000001</t>
  </si>
  <si>
    <t>Consultancy Services for Project Management Consultancy for the work of Improvements and asphalting to roads at Agrahara layout in ward no 05 Byatarayanapura Sub Division</t>
  </si>
  <si>
    <t>Sri.Achutha Murthy</t>
  </si>
  <si>
    <t>P3112</t>
  </si>
  <si>
    <t>Swacha Bharatha Abhiyana Grant Works</t>
  </si>
  <si>
    <t>005-17-000002</t>
  </si>
  <si>
    <t>Consultancy Services for Project Management Consultancy for the Work of Improvements and asphalting to roads at Kogilu layout in ward no 05 Byatarayanapura Sub Division</t>
  </si>
  <si>
    <t>Technical Manager West</t>
  </si>
  <si>
    <t>July</t>
  </si>
  <si>
    <t>005-15-000030</t>
  </si>
  <si>
    <t>Cleaning and removal of silt at Open drains at Kattigenahalli Kogilu and Jakkur surrounding areas in ward no 05 Byatarayanapura sub division</t>
  </si>
  <si>
    <t>M/S KRIDL</t>
  </si>
  <si>
    <t>P2200</t>
  </si>
  <si>
    <t>Works to be taken up under 13th Finance Commission</t>
  </si>
  <si>
    <t>005-16-000033</t>
  </si>
  <si>
    <t>Estimate for Temporary Ganesha emerssion Tank in ward No 5 Jakkur</t>
  </si>
  <si>
    <t>S K Keshavamurthy</t>
  </si>
  <si>
    <t>005-16-000024</t>
  </si>
  <si>
    <t>Operation and maintenance of Street lights in Jakkur Ward W No 5 PackageY 5</t>
  </si>
  <si>
    <t>M/s Sri Vinayaka Electricals</t>
  </si>
  <si>
    <t>P0300</t>
  </si>
  <si>
    <t>M and R to Street Lights - Replacement of Burnt Bulbs etc. (Package)</t>
  </si>
  <si>
    <t>005-17-000030</t>
  </si>
  <si>
    <t>Annual Maintenance to Electrical Installation of BBMP buildings coming under Byatarayanapura Constituency in ward No 5 to 11</t>
  </si>
  <si>
    <t>M/s Chowdeshwari Electricals</t>
  </si>
  <si>
    <t>P0294</t>
  </si>
  <si>
    <t>M and R to Electrical Inst in BMP Buildings, Schools, M.Homes, Community Halls, Markets and Others</t>
  </si>
  <si>
    <t>August</t>
  </si>
  <si>
    <t>005-16-000023</t>
  </si>
  <si>
    <t>Consultancy services for preparation of Details Survey, Designs, Drawining, Estimate, Bid Document, Bill of Quantities for the work of Widenning and Asphalting of Main Road from Sampigehalli Agrahara Village in ward no 05 Byatarayanapura Sub Division</t>
  </si>
  <si>
    <t>Sri.Vishwas.J.P(M/s Tejus Consultants)</t>
  </si>
  <si>
    <t>005-16-000039</t>
  </si>
  <si>
    <t>Maintenance to Electrical Installation to BBMP buildings coming under Byatarayanapura Division at Ward No 5 to 11</t>
  </si>
  <si>
    <t>Ningegowda prof of M/S CHOWDESHWARI ELECTRICALS</t>
  </si>
  <si>
    <t>Sri.G.N.Ramesh</t>
  </si>
  <si>
    <t>R-005-11-000002</t>
  </si>
  <si>
    <t xml:space="preserve"> CONSULTANCY SERVICES FOR PROPOSED CONST OF INDOOR BASKETBALL STADIUM AT WARD NO 5 MALLESWARAM</t>
  </si>
  <si>
    <t xml:space="preserve">Dhananjaya B S </t>
  </si>
  <si>
    <t>P1224</t>
  </si>
  <si>
    <t>Indoor Stadium in Ward 5(100), 92(100)</t>
  </si>
  <si>
    <t>ddo326</t>
  </si>
  <si>
    <t xml:space="preserve"> Executive Engineer SWM 1 Central Zone</t>
  </si>
  <si>
    <t>September</t>
  </si>
  <si>
    <t>005-17-000025</t>
  </si>
  <si>
    <t>Drilling of Borewell and Providing Pump and Motor in ward No 05 Surrounding area Byatarayanapura Sub Division</t>
  </si>
  <si>
    <t>Water &amp; Sanitary</t>
  </si>
  <si>
    <t>H V Nagraj</t>
  </si>
  <si>
    <t>P1802</t>
  </si>
  <si>
    <t>Water Supply New Areas</t>
  </si>
  <si>
    <t>October</t>
  </si>
  <si>
    <t>Sri.Vinay Kumar G.B(M/s Newzen Consultants)</t>
  </si>
  <si>
    <t>005-17-000050</t>
  </si>
  <si>
    <t>Drilling of Borewells and providing pump and motor at Basavalingappanagara Layout (Hathmani Layout) Surrounding area in ward no 05 Byatarayanapura Sub Division</t>
  </si>
  <si>
    <t>P0190</t>
  </si>
  <si>
    <t>Works sanctioned by Hon Mayor</t>
  </si>
  <si>
    <t>K R Santhosh Kumar</t>
  </si>
  <si>
    <t>005-18-000053</t>
  </si>
  <si>
    <t>Improvements to CC Road and drain at Kattigenahalli Dwarakanagara Palanahalli and surrounding area in ward no 05</t>
  </si>
  <si>
    <t>M/S KRIDL(WEST)</t>
  </si>
  <si>
    <t>P3158</t>
  </si>
  <si>
    <t>SIP Infrastructure Project works</t>
  </si>
  <si>
    <t>005-18-000057</t>
  </si>
  <si>
    <t>Improvements road and drains surronding area in ward no 05</t>
  </si>
  <si>
    <t>005-18-000054</t>
  </si>
  <si>
    <t xml:space="preserve">Improvements road and drain at Srinivasapura in ward no 05 </t>
  </si>
  <si>
    <t>005-18-000055</t>
  </si>
  <si>
    <t xml:space="preserve">Improvements road and drain at Kogilu layout in ward no 05 </t>
  </si>
  <si>
    <t>005-16-000041</t>
  </si>
  <si>
    <t>Package No:04 Consists of 23 works</t>
  </si>
  <si>
    <t>M S Venkatesh</t>
  </si>
  <si>
    <t>Current</t>
  </si>
  <si>
    <t>005-17-000020</t>
  </si>
  <si>
    <t>Engaging Tractor and Labours for Daily maintenane works at Kattigenahalli Pallanahalli Bellahalli Chokkanahalli and Thirumenahalli and other areas Ward No 05 Byatarayanapura Sub Division</t>
  </si>
  <si>
    <t>Sree Charan Construction (TS Kothandaraju)</t>
  </si>
  <si>
    <t>005-17-000019</t>
  </si>
  <si>
    <t>Engaging Tractor and Labours for Daily maintenance works at Kogilu Agrahara Kogilu Layout Agrahara layout Sampigehalli and other areas Ward No 05 Byatarayanapura Sub Division</t>
  </si>
  <si>
    <t>Sree Charan Construction T S Kothandaraju</t>
  </si>
  <si>
    <t>005-18-000043</t>
  </si>
  <si>
    <t>Package 7 Improvements to roads for Layout where the Cauvery and UGD works are in Progress in ward no 05 and ward no 06 Byatarayanapura Sub Division</t>
  </si>
  <si>
    <t>Sri. R.Satheesh (M/s Sathya Constructions</t>
  </si>
  <si>
    <t>November</t>
  </si>
  <si>
    <t>005-17-000036</t>
  </si>
  <si>
    <t>Drillling of Borewell and providing pump and motor in ward no 05</t>
  </si>
  <si>
    <t>M/s Kranthi Electrical(Prop of H.V.Nagaraj)</t>
  </si>
  <si>
    <t>005-18-000025</t>
  </si>
  <si>
    <t xml:space="preserve">Package 8 A Improvement of roads and drain at kogilu layout main road and cross road in ward no 05 B Kattigenahalli kuve mpunagara cross road in ward no 05 C Dwarakanagara sri rama temple road in ward no 05 D kattigenahalli Surrounding area in ward no 05 E Nirantara layout in ward no 05 F asphalting to road at agrahara layout harihara temple surrounding area in ward no 05 </t>
  </si>
  <si>
    <t>Sri AChennareddy</t>
  </si>
  <si>
    <t>December</t>
  </si>
  <si>
    <t>005-17-000022</t>
  </si>
  <si>
    <t>Improvements to Road and Drains at Kogilu Ayyappa Enclave in Ward No 05 Byatarayanapura Sub Divisio</t>
  </si>
  <si>
    <t>M Sathish</t>
  </si>
  <si>
    <t>005-16-000013</t>
  </si>
  <si>
    <t>Improvements to Roads and Drains at Srirampura Village in ward no 05 Byatarayanapura Sub Division</t>
  </si>
  <si>
    <t>Gopi Reddy</t>
  </si>
  <si>
    <t>005-16-000012</t>
  </si>
  <si>
    <t>Improvements to Roads and Drains at Hemanna Layout Kogilu in ward no 05 Byatarayanapura Sub Division</t>
  </si>
  <si>
    <t>January</t>
  </si>
  <si>
    <t>005-18-000056</t>
  </si>
  <si>
    <t>Providing Borewells Pipelines and water supply Vinayaka Nagar Dwarakanagar Agrahara layout Kogilu layout Kattigenahalli Chokkanahalli Surrounding area in ward no 05</t>
  </si>
  <si>
    <t>Technical Manager(West)</t>
  </si>
  <si>
    <t>005-18-000087</t>
  </si>
  <si>
    <t xml:space="preserve">Drilling of new Borewell and instaling pump motors prividing pipeline and constrcution of rain water Harvesting at providing cement concrte road and etc at kogilu indira canteen in ward no -5 </t>
  </si>
  <si>
    <t>Rain Water Harvestin</t>
  </si>
  <si>
    <t>005-17-000033</t>
  </si>
  <si>
    <t>Providing released Tubular Pole along with Street lights to Sampigehalli Police Station to Chokkanahalli Village main road in Ward No 05</t>
  </si>
  <si>
    <t>M/s Lakshmi Varadaraja Electrical Stores</t>
  </si>
  <si>
    <t>005-17-000032</t>
  </si>
  <si>
    <t>Providing special repairs to 9th cross canara bank layout Park</t>
  </si>
  <si>
    <t>Trees, Parks &amp; Playgrounds</t>
  </si>
  <si>
    <t>M/s Sri Lakshmi varadaraja Electrical Stores</t>
  </si>
  <si>
    <t>February</t>
  </si>
  <si>
    <t>005-18-000086</t>
  </si>
  <si>
    <t xml:space="preserve">Construction of compound wall Chainlink fencing to vehicle parking dismantling of existing building and beautification works to Indira Canteen building in ward no.5 </t>
  </si>
  <si>
    <t>Indira Canteen</t>
  </si>
  <si>
    <t>March</t>
  </si>
  <si>
    <t>005-17-000014</t>
  </si>
  <si>
    <t>Drilling of Borewell and Providing Pump and Motor at Krishnanagara Vinayakanagara Agrahara layout Kogilu Layout Dwarakanagara Nirantara layout in ward No 05 Byatarayanapura Sub Division</t>
  </si>
  <si>
    <t xml:space="preserve">H V NAGARAJ </t>
  </si>
  <si>
    <t>005-17-000018</t>
  </si>
  <si>
    <t>Drilling of Borewell and Providing Pump and Motor at Palanahalli Anandanagara Chokkanahalli Layout and Kattigenahalli in ward No 05 Byatarayanapura Sub Division</t>
  </si>
  <si>
    <t>Madhuraj H N</t>
  </si>
  <si>
    <t>005-17-000023</t>
  </si>
  <si>
    <t>Providing Borewell accessories to Existing borewell in ward No 05 Surrounding area Byatarayanapura Sub Division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</si>
</sst>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tabSelected="1" workbookViewId="0">
      <pane ySplit="1" topLeftCell="A2" activePane="bottomLeft" state="frozen"/>
      <selection activeCell="H1" sqref="H1"/>
      <selection pane="bottomLeft" activeCell="D6" sqref="D6"/>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v>
      </c>
      <c r="B2" s="9" t="s">
        <v>33</v>
      </c>
      <c r="C2" s="10">
        <v>43194</v>
      </c>
      <c r="D2" s="11">
        <v>5</v>
      </c>
      <c r="E2" s="12" t="s">
        <v>34</v>
      </c>
      <c r="F2" s="12" t="s">
        <v>35</v>
      </c>
      <c r="G2" s="12" t="s">
        <v>35</v>
      </c>
      <c r="H2" s="12" t="s">
        <v>36</v>
      </c>
      <c r="I2" s="11" t="s">
        <v>37</v>
      </c>
      <c r="J2" s="12" t="s">
        <v>38</v>
      </c>
      <c r="K2" s="13" t="s">
        <v>39</v>
      </c>
      <c r="L2" s="11" t="str">
        <f>"000255"</f>
        <v>000255</v>
      </c>
      <c r="M2" s="10">
        <v>42825</v>
      </c>
      <c r="N2" s="11" t="str">
        <f>"000037"</f>
        <v>000037</v>
      </c>
      <c r="O2" s="10">
        <v>43150</v>
      </c>
      <c r="P2" s="11" t="str">
        <f>"000112"</f>
        <v>000112</v>
      </c>
      <c r="Q2" s="10">
        <v>43152</v>
      </c>
      <c r="R2" s="11">
        <v>16</v>
      </c>
      <c r="S2" s="11" t="str">
        <f>"000031"</f>
        <v>000031</v>
      </c>
      <c r="T2" s="10">
        <v>43191</v>
      </c>
      <c r="U2" s="14">
        <v>8.6624999999999996</v>
      </c>
      <c r="V2" s="14">
        <v>0.86624999999999996</v>
      </c>
      <c r="W2" s="14">
        <v>7.7962499999999997</v>
      </c>
      <c r="X2" s="11">
        <v>1</v>
      </c>
      <c r="Y2" s="10">
        <v>43194</v>
      </c>
      <c r="Z2" s="11">
        <v>9611192254</v>
      </c>
      <c r="AA2" s="12" t="s">
        <v>40</v>
      </c>
      <c r="AB2" s="11" t="s">
        <v>41</v>
      </c>
      <c r="AC2" s="12" t="s">
        <v>42</v>
      </c>
      <c r="AD2" s="11" t="s">
        <v>43</v>
      </c>
      <c r="AE2" s="12" t="s">
        <v>44</v>
      </c>
      <c r="AF2" s="14">
        <v>8.6624999999999994E-2</v>
      </c>
      <c r="AG2" s="11" t="s">
        <v>45</v>
      </c>
    </row>
    <row r="3" spans="1:33" x14ac:dyDescent="0.2">
      <c r="A3" s="8">
        <v>317</v>
      </c>
      <c r="B3" s="9" t="s">
        <v>33</v>
      </c>
      <c r="C3" s="10">
        <v>43200</v>
      </c>
      <c r="D3" s="11">
        <v>5</v>
      </c>
      <c r="E3" s="12" t="s">
        <v>34</v>
      </c>
      <c r="F3" s="12" t="s">
        <v>35</v>
      </c>
      <c r="G3" s="12" t="s">
        <v>35</v>
      </c>
      <c r="H3" s="12" t="s">
        <v>36</v>
      </c>
      <c r="I3" s="11" t="s">
        <v>46</v>
      </c>
      <c r="J3" s="12" t="s">
        <v>47</v>
      </c>
      <c r="K3" s="13" t="s">
        <v>39</v>
      </c>
      <c r="L3" s="11" t="str">
        <f>"000208"</f>
        <v>000208</v>
      </c>
      <c r="M3" s="10">
        <v>42412</v>
      </c>
      <c r="N3" s="11" t="str">
        <f>""</f>
        <v/>
      </c>
      <c r="O3" s="10"/>
      <c r="P3" s="11" t="str">
        <f>""</f>
        <v/>
      </c>
      <c r="Q3" s="10"/>
      <c r="R3" s="11">
        <v>16</v>
      </c>
      <c r="S3" s="11" t="str">
        <f>""</f>
        <v/>
      </c>
      <c r="T3" s="10"/>
      <c r="U3" s="14">
        <v>14.236980000000001</v>
      </c>
      <c r="V3" s="14">
        <v>1.5803100000000001</v>
      </c>
      <c r="W3" s="14">
        <v>12.65667</v>
      </c>
      <c r="X3" s="11">
        <v>9</v>
      </c>
      <c r="Y3" s="10">
        <v>43200</v>
      </c>
      <c r="Z3" s="11">
        <v>9448358166</v>
      </c>
      <c r="AA3" s="12" t="s">
        <v>48</v>
      </c>
      <c r="AB3" s="11" t="s">
        <v>41</v>
      </c>
      <c r="AC3" s="12" t="s">
        <v>42</v>
      </c>
      <c r="AD3" s="11" t="s">
        <v>49</v>
      </c>
      <c r="AE3" s="12" t="s">
        <v>50</v>
      </c>
      <c r="AF3" s="14">
        <v>0.14236980000000002</v>
      </c>
      <c r="AG3" s="11" t="s">
        <v>45</v>
      </c>
    </row>
    <row r="4" spans="1:33" x14ac:dyDescent="0.2">
      <c r="A4" s="8">
        <v>318</v>
      </c>
      <c r="B4" s="9" t="s">
        <v>33</v>
      </c>
      <c r="C4" s="10">
        <v>43200</v>
      </c>
      <c r="D4" s="11">
        <v>5</v>
      </c>
      <c r="E4" s="12" t="s">
        <v>34</v>
      </c>
      <c r="F4" s="12" t="s">
        <v>35</v>
      </c>
      <c r="G4" s="12" t="s">
        <v>35</v>
      </c>
      <c r="H4" s="12" t="s">
        <v>36</v>
      </c>
      <c r="I4" s="11" t="s">
        <v>51</v>
      </c>
      <c r="J4" s="12" t="s">
        <v>52</v>
      </c>
      <c r="K4" s="13" t="s">
        <v>39</v>
      </c>
      <c r="L4" s="11" t="str">
        <f>"000003"</f>
        <v>000003</v>
      </c>
      <c r="M4" s="10">
        <v>42510</v>
      </c>
      <c r="N4" s="11" t="str">
        <f>"000045"</f>
        <v>000045</v>
      </c>
      <c r="O4" s="10">
        <v>42556</v>
      </c>
      <c r="P4" s="11" t="str">
        <f>"000045"</f>
        <v>000045</v>
      </c>
      <c r="Q4" s="10">
        <v>42558</v>
      </c>
      <c r="R4" s="11">
        <v>16</v>
      </c>
      <c r="S4" s="11" t="str">
        <f>"011035"</f>
        <v>011035</v>
      </c>
      <c r="T4" s="10">
        <v>43187</v>
      </c>
      <c r="U4" s="14">
        <v>1.1228499999999999</v>
      </c>
      <c r="V4" s="14">
        <v>0.12463</v>
      </c>
      <c r="W4" s="14">
        <v>0.99822</v>
      </c>
      <c r="X4" s="11">
        <v>9</v>
      </c>
      <c r="Y4" s="10">
        <v>43200</v>
      </c>
      <c r="Z4" s="11">
        <v>9341423529</v>
      </c>
      <c r="AA4" s="12" t="s">
        <v>53</v>
      </c>
      <c r="AB4" s="11" t="s">
        <v>54</v>
      </c>
      <c r="AC4" s="12" t="s">
        <v>55</v>
      </c>
      <c r="AD4" s="11" t="s">
        <v>49</v>
      </c>
      <c r="AE4" s="12" t="s">
        <v>50</v>
      </c>
      <c r="AF4" s="14">
        <v>1.1228499999999999E-2</v>
      </c>
      <c r="AG4" s="11" t="s">
        <v>45</v>
      </c>
    </row>
    <row r="5" spans="1:33" x14ac:dyDescent="0.2">
      <c r="A5" s="8">
        <v>685</v>
      </c>
      <c r="B5" s="9" t="s">
        <v>33</v>
      </c>
      <c r="C5" s="10">
        <v>43216</v>
      </c>
      <c r="D5" s="11">
        <v>5</v>
      </c>
      <c r="E5" s="12" t="s">
        <v>34</v>
      </c>
      <c r="F5" s="12" t="s">
        <v>35</v>
      </c>
      <c r="G5" s="12" t="s">
        <v>35</v>
      </c>
      <c r="H5" s="12" t="s">
        <v>36</v>
      </c>
      <c r="I5" s="11" t="s">
        <v>56</v>
      </c>
      <c r="J5" s="12" t="s">
        <v>57</v>
      </c>
      <c r="K5" s="13" t="s">
        <v>58</v>
      </c>
      <c r="L5" s="11" t="str">
        <f>"000108"</f>
        <v>000108</v>
      </c>
      <c r="M5" s="10">
        <v>43166</v>
      </c>
      <c r="N5" s="11" t="str">
        <f>"000001"</f>
        <v>000001</v>
      </c>
      <c r="O5" s="10">
        <v>43195</v>
      </c>
      <c r="P5" s="11" t="str">
        <f>"000001"</f>
        <v>000001</v>
      </c>
      <c r="Q5" s="10">
        <v>43195</v>
      </c>
      <c r="R5" s="11">
        <v>18</v>
      </c>
      <c r="S5" s="11" t="str">
        <f>"000630"</f>
        <v>000630</v>
      </c>
      <c r="T5" s="10">
        <v>43214</v>
      </c>
      <c r="U5" s="14">
        <v>84.984629999999996</v>
      </c>
      <c r="V5" s="14">
        <v>7.8610699999999998</v>
      </c>
      <c r="W5" s="14">
        <v>77.123559999999998</v>
      </c>
      <c r="X5" s="11">
        <v>25</v>
      </c>
      <c r="Y5" s="10">
        <v>43216</v>
      </c>
      <c r="Z5" s="11">
        <v>9449863065</v>
      </c>
      <c r="AA5" s="12" t="s">
        <v>59</v>
      </c>
      <c r="AB5" s="11" t="s">
        <v>60</v>
      </c>
      <c r="AC5" s="12" t="s">
        <v>61</v>
      </c>
      <c r="AD5" s="11" t="s">
        <v>43</v>
      </c>
      <c r="AE5" s="12" t="s">
        <v>44</v>
      </c>
      <c r="AF5" s="14">
        <v>0.84984629999999994</v>
      </c>
      <c r="AG5" s="11" t="s">
        <v>62</v>
      </c>
    </row>
    <row r="6" spans="1:33" x14ac:dyDescent="0.2">
      <c r="A6" s="8">
        <v>686</v>
      </c>
      <c r="B6" s="9" t="s">
        <v>33</v>
      </c>
      <c r="C6" s="10">
        <v>43216</v>
      </c>
      <c r="D6" s="11">
        <v>5</v>
      </c>
      <c r="E6" s="12" t="s">
        <v>34</v>
      </c>
      <c r="F6" s="12" t="s">
        <v>35</v>
      </c>
      <c r="G6" s="12" t="s">
        <v>35</v>
      </c>
      <c r="H6" s="12" t="s">
        <v>36</v>
      </c>
      <c r="I6" s="11" t="s">
        <v>63</v>
      </c>
      <c r="J6" s="12" t="s">
        <v>64</v>
      </c>
      <c r="K6" s="13" t="s">
        <v>65</v>
      </c>
      <c r="L6" s="11" t="str">
        <f>"000596"</f>
        <v>000596</v>
      </c>
      <c r="M6" s="10">
        <v>41701</v>
      </c>
      <c r="N6" s="11" t="str">
        <f>"000003"</f>
        <v>000003</v>
      </c>
      <c r="O6" s="10">
        <v>42853</v>
      </c>
      <c r="P6" s="11" t="str">
        <f>"000034"</f>
        <v>000034</v>
      </c>
      <c r="Q6" s="10">
        <v>42853</v>
      </c>
      <c r="R6" s="11">
        <v>14</v>
      </c>
      <c r="S6" s="11" t="str">
        <f>"000708"</f>
        <v>000708</v>
      </c>
      <c r="T6" s="10">
        <v>43215</v>
      </c>
      <c r="U6" s="14">
        <v>23.907990000000002</v>
      </c>
      <c r="V6" s="14">
        <v>1.8771899999999999</v>
      </c>
      <c r="W6" s="14">
        <v>22.030799999999999</v>
      </c>
      <c r="X6" s="11">
        <v>26</v>
      </c>
      <c r="Y6" s="10">
        <v>43216</v>
      </c>
      <c r="Z6" s="11">
        <v>9591739363</v>
      </c>
      <c r="AA6" s="12" t="s">
        <v>66</v>
      </c>
      <c r="AB6" s="11" t="s">
        <v>67</v>
      </c>
      <c r="AC6" s="12" t="s">
        <v>68</v>
      </c>
      <c r="AD6" s="11" t="s">
        <v>43</v>
      </c>
      <c r="AE6" s="12" t="s">
        <v>44</v>
      </c>
      <c r="AF6" s="14">
        <v>0.23907990000000001</v>
      </c>
      <c r="AG6" s="11" t="s">
        <v>45</v>
      </c>
    </row>
    <row r="7" spans="1:33" x14ac:dyDescent="0.2">
      <c r="A7" s="8">
        <v>771</v>
      </c>
      <c r="B7" s="9" t="s">
        <v>33</v>
      </c>
      <c r="C7" s="10">
        <v>43217</v>
      </c>
      <c r="D7" s="11">
        <v>5</v>
      </c>
      <c r="E7" s="12" t="s">
        <v>34</v>
      </c>
      <c r="F7" s="12" t="s">
        <v>35</v>
      </c>
      <c r="G7" s="12" t="s">
        <v>35</v>
      </c>
      <c r="H7" s="12" t="s">
        <v>36</v>
      </c>
      <c r="I7" s="11" t="s">
        <v>69</v>
      </c>
      <c r="J7" s="12" t="s">
        <v>70</v>
      </c>
      <c r="K7" s="13" t="s">
        <v>65</v>
      </c>
      <c r="L7" s="11" t="str">
        <f>"000117"</f>
        <v>000117</v>
      </c>
      <c r="M7" s="10">
        <v>42607</v>
      </c>
      <c r="N7" s="11" t="str">
        <f>"000103"</f>
        <v>000103</v>
      </c>
      <c r="O7" s="10">
        <v>42670</v>
      </c>
      <c r="P7" s="11" t="str">
        <f>"000664"</f>
        <v>000664</v>
      </c>
      <c r="Q7" s="10">
        <v>42703</v>
      </c>
      <c r="R7" s="11">
        <v>16</v>
      </c>
      <c r="S7" s="11" t="str">
        <f>"000737"</f>
        <v>000737</v>
      </c>
      <c r="T7" s="10">
        <v>43216</v>
      </c>
      <c r="U7" s="14">
        <v>4.8500500000000004</v>
      </c>
      <c r="V7" s="14">
        <v>0.39308999999999999</v>
      </c>
      <c r="W7" s="14">
        <v>4.4569599999999996</v>
      </c>
      <c r="X7" s="11">
        <v>31</v>
      </c>
      <c r="Y7" s="10">
        <v>43217</v>
      </c>
      <c r="Z7" s="11">
        <v>9886213563</v>
      </c>
      <c r="AA7" s="12" t="s">
        <v>71</v>
      </c>
      <c r="AB7" s="11" t="s">
        <v>72</v>
      </c>
      <c r="AC7" s="12" t="s">
        <v>73</v>
      </c>
      <c r="AD7" s="11" t="s">
        <v>43</v>
      </c>
      <c r="AE7" s="12" t="s">
        <v>44</v>
      </c>
      <c r="AF7" s="14">
        <v>4.8500500000000002E-2</v>
      </c>
      <c r="AG7" s="11" t="s">
        <v>45</v>
      </c>
    </row>
    <row r="8" spans="1:33" x14ac:dyDescent="0.2">
      <c r="A8" s="8">
        <v>772</v>
      </c>
      <c r="B8" s="9" t="s">
        <v>33</v>
      </c>
      <c r="C8" s="10">
        <v>43217</v>
      </c>
      <c r="D8" s="11">
        <v>5</v>
      </c>
      <c r="E8" s="12" t="s">
        <v>34</v>
      </c>
      <c r="F8" s="12" t="s">
        <v>35</v>
      </c>
      <c r="G8" s="12" t="s">
        <v>35</v>
      </c>
      <c r="H8" s="12" t="s">
        <v>36</v>
      </c>
      <c r="I8" s="11" t="s">
        <v>74</v>
      </c>
      <c r="J8" s="12" t="s">
        <v>75</v>
      </c>
      <c r="K8" s="13" t="s">
        <v>65</v>
      </c>
      <c r="L8" s="11" t="str">
        <f>"000116"</f>
        <v>000116</v>
      </c>
      <c r="M8" s="10">
        <v>42607</v>
      </c>
      <c r="N8" s="11" t="str">
        <f>"000102"</f>
        <v>000102</v>
      </c>
      <c r="O8" s="10">
        <v>42670</v>
      </c>
      <c r="P8" s="11" t="str">
        <f>"000665"</f>
        <v>000665</v>
      </c>
      <c r="Q8" s="10">
        <v>42703</v>
      </c>
      <c r="R8" s="11">
        <v>16</v>
      </c>
      <c r="S8" s="11" t="str">
        <f>"000738"</f>
        <v>000738</v>
      </c>
      <c r="T8" s="10">
        <v>43216</v>
      </c>
      <c r="U8" s="14">
        <v>9.8005999999999993</v>
      </c>
      <c r="V8" s="14">
        <v>0.81340000000000001</v>
      </c>
      <c r="W8" s="14">
        <v>8.9871999999999996</v>
      </c>
      <c r="X8" s="11">
        <v>31</v>
      </c>
      <c r="Y8" s="10">
        <v>43217</v>
      </c>
      <c r="Z8" s="11">
        <v>9886213563</v>
      </c>
      <c r="AA8" s="12" t="s">
        <v>71</v>
      </c>
      <c r="AB8" s="11" t="s">
        <v>72</v>
      </c>
      <c r="AC8" s="12" t="s">
        <v>73</v>
      </c>
      <c r="AD8" s="11" t="s">
        <v>43</v>
      </c>
      <c r="AE8" s="12" t="s">
        <v>44</v>
      </c>
      <c r="AF8" s="14">
        <v>9.8005999999999996E-2</v>
      </c>
      <c r="AG8" s="11" t="s">
        <v>45</v>
      </c>
    </row>
    <row r="9" spans="1:33" x14ac:dyDescent="0.2">
      <c r="A9" s="8">
        <v>859</v>
      </c>
      <c r="B9" s="9" t="s">
        <v>76</v>
      </c>
      <c r="C9" s="10">
        <v>43227</v>
      </c>
      <c r="D9" s="11">
        <v>5</v>
      </c>
      <c r="E9" s="12" t="s">
        <v>34</v>
      </c>
      <c r="F9" s="12" t="s">
        <v>35</v>
      </c>
      <c r="G9" s="12" t="s">
        <v>35</v>
      </c>
      <c r="H9" s="12" t="s">
        <v>36</v>
      </c>
      <c r="I9" s="11" t="s">
        <v>77</v>
      </c>
      <c r="J9" s="12" t="s">
        <v>78</v>
      </c>
      <c r="K9" s="13" t="s">
        <v>39</v>
      </c>
      <c r="L9" s="11" t="str">
        <f>"000258"</f>
        <v>000258</v>
      </c>
      <c r="M9" s="10">
        <v>42825</v>
      </c>
      <c r="N9" s="11" t="str">
        <f>"000038"</f>
        <v>000038</v>
      </c>
      <c r="O9" s="10">
        <v>43150</v>
      </c>
      <c r="P9" s="11" t="str">
        <f>"000109"</f>
        <v>000109</v>
      </c>
      <c r="Q9" s="10">
        <v>43152</v>
      </c>
      <c r="R9" s="11">
        <v>16</v>
      </c>
      <c r="S9" s="11" t="str">
        <f>"001076"</f>
        <v>001076</v>
      </c>
      <c r="T9" s="10">
        <v>43224</v>
      </c>
      <c r="U9" s="14">
        <v>3.15</v>
      </c>
      <c r="V9" s="14">
        <v>0.315</v>
      </c>
      <c r="W9" s="14">
        <v>2.835</v>
      </c>
      <c r="X9" s="11">
        <v>41</v>
      </c>
      <c r="Y9" s="10">
        <v>43227</v>
      </c>
      <c r="Z9" s="11">
        <v>9611192254</v>
      </c>
      <c r="AA9" s="12" t="s">
        <v>40</v>
      </c>
      <c r="AB9" s="11" t="s">
        <v>79</v>
      </c>
      <c r="AC9" s="12" t="s">
        <v>80</v>
      </c>
      <c r="AD9" s="11" t="s">
        <v>43</v>
      </c>
      <c r="AE9" s="12" t="s">
        <v>44</v>
      </c>
      <c r="AF9" s="14">
        <v>3.15E-2</v>
      </c>
      <c r="AG9" s="11" t="s">
        <v>45</v>
      </c>
    </row>
    <row r="10" spans="1:33" x14ac:dyDescent="0.2">
      <c r="A10" s="8">
        <v>1470</v>
      </c>
      <c r="B10" s="9" t="s">
        <v>76</v>
      </c>
      <c r="C10" s="10">
        <v>43251</v>
      </c>
      <c r="D10" s="11">
        <v>5</v>
      </c>
      <c r="E10" s="12" t="s">
        <v>34</v>
      </c>
      <c r="F10" s="12" t="s">
        <v>35</v>
      </c>
      <c r="G10" s="12" t="s">
        <v>35</v>
      </c>
      <c r="H10" s="12" t="s">
        <v>36</v>
      </c>
      <c r="I10" s="11" t="s">
        <v>81</v>
      </c>
      <c r="J10" s="12" t="s">
        <v>82</v>
      </c>
      <c r="K10" s="13" t="s">
        <v>65</v>
      </c>
      <c r="L10" s="11" t="str">
        <f>"000006"</f>
        <v>000006</v>
      </c>
      <c r="M10" s="10">
        <v>42355</v>
      </c>
      <c r="N10" s="11" t="str">
        <f>"000006"</f>
        <v>000006</v>
      </c>
      <c r="O10" s="10">
        <v>42543</v>
      </c>
      <c r="P10" s="11" t="str">
        <f>"000006"</f>
        <v>000006</v>
      </c>
      <c r="Q10" s="10">
        <v>42548</v>
      </c>
      <c r="R10" s="11">
        <v>16</v>
      </c>
      <c r="S10" s="11" t="str">
        <f>"010076"</f>
        <v>010076</v>
      </c>
      <c r="T10" s="10">
        <v>43161</v>
      </c>
      <c r="U10" s="14">
        <v>43.495950000000001</v>
      </c>
      <c r="V10" s="14">
        <v>5.5700200000000004</v>
      </c>
      <c r="W10" s="14">
        <v>37.925930000000001</v>
      </c>
      <c r="X10" s="11">
        <v>67</v>
      </c>
      <c r="Y10" s="10">
        <v>43251</v>
      </c>
      <c r="Z10" s="11">
        <v>9845736688</v>
      </c>
      <c r="AA10" s="12" t="s">
        <v>83</v>
      </c>
      <c r="AB10" s="11" t="s">
        <v>41</v>
      </c>
      <c r="AC10" s="12" t="s">
        <v>42</v>
      </c>
      <c r="AD10" s="11" t="s">
        <v>84</v>
      </c>
      <c r="AE10" s="12" t="s">
        <v>85</v>
      </c>
      <c r="AF10" s="14">
        <v>0.4349595</v>
      </c>
      <c r="AG10" s="11" t="s">
        <v>45</v>
      </c>
    </row>
    <row r="11" spans="1:33" x14ac:dyDescent="0.2">
      <c r="A11" s="8">
        <v>2126</v>
      </c>
      <c r="B11" s="9" t="s">
        <v>86</v>
      </c>
      <c r="C11" s="10">
        <v>43265</v>
      </c>
      <c r="D11" s="11">
        <v>5</v>
      </c>
      <c r="E11" s="12" t="s">
        <v>34</v>
      </c>
      <c r="F11" s="12" t="s">
        <v>35</v>
      </c>
      <c r="G11" s="12" t="s">
        <v>35</v>
      </c>
      <c r="H11" s="12" t="s">
        <v>36</v>
      </c>
      <c r="I11" s="11" t="s">
        <v>87</v>
      </c>
      <c r="J11" s="12" t="s">
        <v>88</v>
      </c>
      <c r="K11" s="13" t="s">
        <v>65</v>
      </c>
      <c r="L11" s="11" t="str">
        <f>"000016"</f>
        <v>000016</v>
      </c>
      <c r="M11" s="10">
        <v>42893</v>
      </c>
      <c r="N11" s="11" t="str">
        <f>"000040"</f>
        <v>000040</v>
      </c>
      <c r="O11" s="10">
        <v>43140</v>
      </c>
      <c r="P11" s="11" t="str">
        <f>"000049"</f>
        <v>000049</v>
      </c>
      <c r="Q11" s="10">
        <v>43140</v>
      </c>
      <c r="R11" s="11">
        <v>17</v>
      </c>
      <c r="S11" s="11" t="str">
        <f>""</f>
        <v/>
      </c>
      <c r="T11" s="10"/>
      <c r="U11" s="14">
        <v>294.41246000000001</v>
      </c>
      <c r="V11" s="14">
        <v>9.4211899999999993</v>
      </c>
      <c r="W11" s="14">
        <v>284.99126999999999</v>
      </c>
      <c r="X11" s="11">
        <v>85</v>
      </c>
      <c r="Y11" s="10">
        <v>43265</v>
      </c>
      <c r="Z11" s="11">
        <v>9980437373</v>
      </c>
      <c r="AA11" s="12" t="s">
        <v>89</v>
      </c>
      <c r="AB11" s="11" t="s">
        <v>90</v>
      </c>
      <c r="AC11" s="12" t="s">
        <v>91</v>
      </c>
      <c r="AD11" s="11" t="s">
        <v>84</v>
      </c>
      <c r="AE11" s="12" t="s">
        <v>85</v>
      </c>
      <c r="AF11" s="14">
        <v>2.9441246000000003</v>
      </c>
      <c r="AG11" s="11" t="s">
        <v>45</v>
      </c>
    </row>
    <row r="12" spans="1:33" x14ac:dyDescent="0.2">
      <c r="A12" s="8">
        <v>2127</v>
      </c>
      <c r="B12" s="9" t="s">
        <v>86</v>
      </c>
      <c r="C12" s="10">
        <v>43265</v>
      </c>
      <c r="D12" s="11">
        <v>5</v>
      </c>
      <c r="E12" s="12" t="s">
        <v>34</v>
      </c>
      <c r="F12" s="12" t="s">
        <v>35</v>
      </c>
      <c r="G12" s="12" t="s">
        <v>35</v>
      </c>
      <c r="H12" s="12" t="s">
        <v>36</v>
      </c>
      <c r="I12" s="11" t="s">
        <v>92</v>
      </c>
      <c r="J12" s="12" t="s">
        <v>93</v>
      </c>
      <c r="K12" s="13" t="s">
        <v>65</v>
      </c>
      <c r="L12" s="11" t="str">
        <f>"000015"</f>
        <v>000015</v>
      </c>
      <c r="M12" s="10">
        <v>42893</v>
      </c>
      <c r="N12" s="11" t="str">
        <f>"000041"</f>
        <v>000041</v>
      </c>
      <c r="O12" s="10">
        <v>43140</v>
      </c>
      <c r="P12" s="11" t="str">
        <f>"000050"</f>
        <v>000050</v>
      </c>
      <c r="Q12" s="10">
        <v>43140</v>
      </c>
      <c r="R12" s="11">
        <v>17</v>
      </c>
      <c r="S12" s="11" t="str">
        <f>""</f>
        <v/>
      </c>
      <c r="T12" s="10"/>
      <c r="U12" s="14">
        <v>196.38023000000001</v>
      </c>
      <c r="V12" s="14">
        <v>20.772400000000001</v>
      </c>
      <c r="W12" s="14">
        <v>175.60783000000001</v>
      </c>
      <c r="X12" s="11">
        <v>85</v>
      </c>
      <c r="Y12" s="10">
        <v>43265</v>
      </c>
      <c r="Z12" s="11">
        <v>9900333496</v>
      </c>
      <c r="AA12" s="12" t="s">
        <v>94</v>
      </c>
      <c r="AB12" s="11" t="s">
        <v>90</v>
      </c>
      <c r="AC12" s="12" t="s">
        <v>91</v>
      </c>
      <c r="AD12" s="11" t="s">
        <v>84</v>
      </c>
      <c r="AE12" s="12" t="s">
        <v>85</v>
      </c>
      <c r="AF12" s="14">
        <v>1.9638023000000002</v>
      </c>
      <c r="AG12" s="11" t="s">
        <v>45</v>
      </c>
    </row>
    <row r="13" spans="1:33" x14ac:dyDescent="0.2">
      <c r="A13" s="8">
        <v>2193</v>
      </c>
      <c r="B13" s="9" t="s">
        <v>86</v>
      </c>
      <c r="C13" s="10">
        <v>43269</v>
      </c>
      <c r="D13" s="11">
        <v>5</v>
      </c>
      <c r="E13" s="12" t="s">
        <v>34</v>
      </c>
      <c r="F13" s="12" t="s">
        <v>35</v>
      </c>
      <c r="G13" s="12" t="s">
        <v>35</v>
      </c>
      <c r="H13" s="12" t="s">
        <v>36</v>
      </c>
      <c r="I13" s="11" t="s">
        <v>81</v>
      </c>
      <c r="J13" s="12" t="s">
        <v>82</v>
      </c>
      <c r="K13" s="13" t="s">
        <v>65</v>
      </c>
      <c r="L13" s="11" t="str">
        <f>"000006"</f>
        <v>000006</v>
      </c>
      <c r="M13" s="10">
        <v>42355</v>
      </c>
      <c r="N13" s="11" t="str">
        <f>"000006"</f>
        <v>000006</v>
      </c>
      <c r="O13" s="10">
        <v>42543</v>
      </c>
      <c r="P13" s="11" t="str">
        <f>"000006"</f>
        <v>000006</v>
      </c>
      <c r="Q13" s="10">
        <v>42548</v>
      </c>
      <c r="R13" s="11">
        <v>16</v>
      </c>
      <c r="S13" s="11" t="str">
        <f>"010076"</f>
        <v>010076</v>
      </c>
      <c r="T13" s="10">
        <v>43161</v>
      </c>
      <c r="U13" s="14">
        <v>47.924050000000001</v>
      </c>
      <c r="V13" s="14">
        <v>3.7274400000000001</v>
      </c>
      <c r="W13" s="14">
        <v>44.19661</v>
      </c>
      <c r="X13" s="11">
        <v>90</v>
      </c>
      <c r="Y13" s="10">
        <v>43269</v>
      </c>
      <c r="Z13" s="11">
        <v>9845736688</v>
      </c>
      <c r="AA13" s="12" t="s">
        <v>83</v>
      </c>
      <c r="AB13" s="11" t="s">
        <v>41</v>
      </c>
      <c r="AC13" s="12" t="s">
        <v>42</v>
      </c>
      <c r="AD13" s="11" t="s">
        <v>84</v>
      </c>
      <c r="AE13" s="12" t="s">
        <v>85</v>
      </c>
      <c r="AF13" s="14">
        <v>0.47924050000000001</v>
      </c>
      <c r="AG13" s="11" t="s">
        <v>45</v>
      </c>
    </row>
    <row r="14" spans="1:33" x14ac:dyDescent="0.2">
      <c r="A14" s="8">
        <v>2772</v>
      </c>
      <c r="B14" s="9" t="s">
        <v>95</v>
      </c>
      <c r="C14" s="10">
        <v>43283</v>
      </c>
      <c r="D14" s="11">
        <v>5</v>
      </c>
      <c r="E14" s="12" t="s">
        <v>34</v>
      </c>
      <c r="F14" s="12" t="s">
        <v>35</v>
      </c>
      <c r="G14" s="12" t="s">
        <v>35</v>
      </c>
      <c r="H14" s="12" t="s">
        <v>36</v>
      </c>
      <c r="I14" s="11" t="s">
        <v>96</v>
      </c>
      <c r="J14" s="12" t="s">
        <v>97</v>
      </c>
      <c r="K14" s="13" t="s">
        <v>58</v>
      </c>
      <c r="L14" s="11" t="str">
        <f>"000141"</f>
        <v>000141</v>
      </c>
      <c r="M14" s="10">
        <v>42667</v>
      </c>
      <c r="N14" s="11" t="str">
        <f>"000109"</f>
        <v>000109</v>
      </c>
      <c r="O14" s="10">
        <v>42692</v>
      </c>
      <c r="P14" s="11" t="str">
        <f>"000637"</f>
        <v>000637</v>
      </c>
      <c r="Q14" s="10">
        <v>42702</v>
      </c>
      <c r="R14" s="11">
        <v>15</v>
      </c>
      <c r="S14" s="11" t="str">
        <f>"003028"</f>
        <v>003028</v>
      </c>
      <c r="T14" s="10">
        <v>43277</v>
      </c>
      <c r="U14" s="14">
        <v>18.497140000000002</v>
      </c>
      <c r="V14" s="14">
        <v>2.5156200000000002</v>
      </c>
      <c r="W14" s="14">
        <v>15.98152</v>
      </c>
      <c r="X14" s="11">
        <v>108</v>
      </c>
      <c r="Y14" s="10">
        <v>43283</v>
      </c>
      <c r="Z14" s="11">
        <v>9449863065</v>
      </c>
      <c r="AA14" s="12" t="s">
        <v>98</v>
      </c>
      <c r="AB14" s="11" t="s">
        <v>99</v>
      </c>
      <c r="AC14" s="12" t="s">
        <v>100</v>
      </c>
      <c r="AD14" s="11" t="s">
        <v>43</v>
      </c>
      <c r="AE14" s="12" t="s">
        <v>44</v>
      </c>
      <c r="AF14" s="14">
        <v>0.18497140000000001</v>
      </c>
      <c r="AG14" s="11" t="s">
        <v>45</v>
      </c>
    </row>
    <row r="15" spans="1:33" x14ac:dyDescent="0.2">
      <c r="A15" s="8">
        <v>3128</v>
      </c>
      <c r="B15" s="9" t="s">
        <v>95</v>
      </c>
      <c r="C15" s="10">
        <v>43290</v>
      </c>
      <c r="D15" s="11">
        <v>5</v>
      </c>
      <c r="E15" s="12" t="s">
        <v>34</v>
      </c>
      <c r="F15" s="12" t="s">
        <v>35</v>
      </c>
      <c r="G15" s="12" t="s">
        <v>35</v>
      </c>
      <c r="H15" s="12" t="s">
        <v>36</v>
      </c>
      <c r="I15" s="11" t="s">
        <v>101</v>
      </c>
      <c r="J15" s="12" t="s">
        <v>102</v>
      </c>
      <c r="K15" s="13" t="s">
        <v>39</v>
      </c>
      <c r="L15" s="11" t="str">
        <f>"000118"</f>
        <v>000118</v>
      </c>
      <c r="M15" s="10">
        <v>42612</v>
      </c>
      <c r="N15" s="11" t="str">
        <f>"000115"</f>
        <v>000115</v>
      </c>
      <c r="O15" s="10">
        <v>42712</v>
      </c>
      <c r="P15" s="11" t="str">
        <f>"000691"</f>
        <v>000691</v>
      </c>
      <c r="Q15" s="10">
        <v>42723</v>
      </c>
      <c r="R15" s="11">
        <v>16</v>
      </c>
      <c r="S15" s="11" t="str">
        <f>"003397"</f>
        <v>003397</v>
      </c>
      <c r="T15" s="10">
        <v>43288</v>
      </c>
      <c r="U15" s="14">
        <v>8.3307800000000007</v>
      </c>
      <c r="V15" s="14">
        <v>0.50817999999999997</v>
      </c>
      <c r="W15" s="14">
        <v>7.8226000000000004</v>
      </c>
      <c r="X15" s="11">
        <v>117</v>
      </c>
      <c r="Y15" s="10">
        <v>43290</v>
      </c>
      <c r="Z15" s="11">
        <v>9902126909</v>
      </c>
      <c r="AA15" s="12" t="s">
        <v>103</v>
      </c>
      <c r="AB15" s="11" t="s">
        <v>72</v>
      </c>
      <c r="AC15" s="12" t="s">
        <v>73</v>
      </c>
      <c r="AD15" s="11" t="s">
        <v>43</v>
      </c>
      <c r="AE15" s="12" t="s">
        <v>44</v>
      </c>
      <c r="AF15" s="14">
        <v>8.3307800000000001E-2</v>
      </c>
      <c r="AG15" s="11" t="s">
        <v>45</v>
      </c>
    </row>
    <row r="16" spans="1:33" x14ac:dyDescent="0.2">
      <c r="A16" s="8">
        <v>4058</v>
      </c>
      <c r="B16" s="9" t="s">
        <v>95</v>
      </c>
      <c r="C16" s="10">
        <v>43308</v>
      </c>
      <c r="D16" s="11">
        <v>5</v>
      </c>
      <c r="E16" s="12" t="s">
        <v>34</v>
      </c>
      <c r="F16" s="12" t="s">
        <v>35</v>
      </c>
      <c r="G16" s="12" t="s">
        <v>35</v>
      </c>
      <c r="H16" s="12" t="s">
        <v>36</v>
      </c>
      <c r="I16" s="11" t="s">
        <v>104</v>
      </c>
      <c r="J16" s="12" t="s">
        <v>105</v>
      </c>
      <c r="K16" s="13" t="s">
        <v>58</v>
      </c>
      <c r="L16" s="11" t="str">
        <f>"000038"</f>
        <v>000038</v>
      </c>
      <c r="M16" s="10">
        <v>42804</v>
      </c>
      <c r="N16" s="11" t="str">
        <f>"000021"</f>
        <v>000021</v>
      </c>
      <c r="O16" s="10">
        <v>43069</v>
      </c>
      <c r="P16" s="11" t="str">
        <f>"000021"</f>
        <v>000021</v>
      </c>
      <c r="Q16" s="10">
        <v>43069</v>
      </c>
      <c r="R16" s="11">
        <v>16</v>
      </c>
      <c r="S16" s="11" t="str">
        <f>"004803"</f>
        <v>004803</v>
      </c>
      <c r="T16" s="10">
        <v>43315</v>
      </c>
      <c r="U16" s="14">
        <v>6.8172600000000001</v>
      </c>
      <c r="V16" s="14">
        <v>0.48085</v>
      </c>
      <c r="W16" s="14">
        <v>6.3364099999999999</v>
      </c>
      <c r="X16" s="11">
        <v>146</v>
      </c>
      <c r="Y16" s="10">
        <v>43308</v>
      </c>
      <c r="Z16" s="11">
        <v>9060589769</v>
      </c>
      <c r="AA16" s="12" t="s">
        <v>106</v>
      </c>
      <c r="AB16" s="11" t="s">
        <v>107</v>
      </c>
      <c r="AC16" s="12" t="s">
        <v>108</v>
      </c>
      <c r="AD16" s="11" t="s">
        <v>49</v>
      </c>
      <c r="AE16" s="12" t="s">
        <v>50</v>
      </c>
      <c r="AF16" s="14">
        <v>6.81726E-2</v>
      </c>
      <c r="AG16" s="11" t="s">
        <v>45</v>
      </c>
    </row>
    <row r="17" spans="1:33" x14ac:dyDescent="0.2">
      <c r="A17" s="8">
        <v>4059</v>
      </c>
      <c r="B17" s="9" t="s">
        <v>95</v>
      </c>
      <c r="C17" s="10">
        <v>43308</v>
      </c>
      <c r="D17" s="11">
        <v>5</v>
      </c>
      <c r="E17" s="12" t="s">
        <v>34</v>
      </c>
      <c r="F17" s="12" t="s">
        <v>35</v>
      </c>
      <c r="G17" s="12" t="s">
        <v>35</v>
      </c>
      <c r="H17" s="12" t="s">
        <v>36</v>
      </c>
      <c r="I17" s="11" t="s">
        <v>109</v>
      </c>
      <c r="J17" s="12" t="s">
        <v>110</v>
      </c>
      <c r="K17" s="13" t="s">
        <v>39</v>
      </c>
      <c r="L17" s="11" t="str">
        <f>"000024"</f>
        <v>000024</v>
      </c>
      <c r="M17" s="10">
        <v>42886</v>
      </c>
      <c r="N17" s="11" t="str">
        <f>"000011"</f>
        <v>000011</v>
      </c>
      <c r="O17" s="10">
        <v>43203</v>
      </c>
      <c r="P17" s="11" t="str">
        <f>"000011"</f>
        <v>000011</v>
      </c>
      <c r="Q17" s="10">
        <v>43203</v>
      </c>
      <c r="R17" s="11">
        <v>17</v>
      </c>
      <c r="S17" s="11" t="str">
        <f>"004399"</f>
        <v>004399</v>
      </c>
      <c r="T17" s="10">
        <v>43306</v>
      </c>
      <c r="U17" s="14">
        <v>1.4973000000000001</v>
      </c>
      <c r="V17" s="14">
        <v>6.1359999999999998E-2</v>
      </c>
      <c r="W17" s="14">
        <v>1.43594</v>
      </c>
      <c r="X17" s="11">
        <v>146</v>
      </c>
      <c r="Y17" s="10">
        <v>43308</v>
      </c>
      <c r="Z17" s="11">
        <v>9448024910</v>
      </c>
      <c r="AA17" s="12" t="s">
        <v>111</v>
      </c>
      <c r="AB17" s="11" t="s">
        <v>112</v>
      </c>
      <c r="AC17" s="12" t="s">
        <v>113</v>
      </c>
      <c r="AD17" s="11" t="s">
        <v>49</v>
      </c>
      <c r="AE17" s="12" t="s">
        <v>50</v>
      </c>
      <c r="AF17" s="14">
        <v>1.4973E-2</v>
      </c>
      <c r="AG17" s="11" t="s">
        <v>62</v>
      </c>
    </row>
    <row r="18" spans="1:33" x14ac:dyDescent="0.2">
      <c r="A18" s="8">
        <v>4247</v>
      </c>
      <c r="B18" s="9" t="s">
        <v>114</v>
      </c>
      <c r="C18" s="10">
        <v>43315</v>
      </c>
      <c r="D18" s="11">
        <v>5</v>
      </c>
      <c r="E18" s="12" t="s">
        <v>34</v>
      </c>
      <c r="F18" s="12" t="s">
        <v>35</v>
      </c>
      <c r="G18" s="12" t="s">
        <v>35</v>
      </c>
      <c r="H18" s="12" t="s">
        <v>36</v>
      </c>
      <c r="I18" s="11" t="s">
        <v>115</v>
      </c>
      <c r="J18" s="12" t="s">
        <v>116</v>
      </c>
      <c r="K18" s="13" t="s">
        <v>65</v>
      </c>
      <c r="L18" s="11" t="str">
        <f>"000007"</f>
        <v>000007</v>
      </c>
      <c r="M18" s="10">
        <v>42355</v>
      </c>
      <c r="N18" s="11" t="str">
        <f>"000033"</f>
        <v>000033</v>
      </c>
      <c r="O18" s="10">
        <v>42765</v>
      </c>
      <c r="P18" s="11" t="str">
        <f>"000033"</f>
        <v>000033</v>
      </c>
      <c r="Q18" s="10">
        <v>42765</v>
      </c>
      <c r="R18" s="11">
        <v>16</v>
      </c>
      <c r="S18" s="11" t="str">
        <f>"004505"</f>
        <v>004505</v>
      </c>
      <c r="T18" s="10">
        <v>43308</v>
      </c>
      <c r="U18" s="14">
        <v>0.76</v>
      </c>
      <c r="V18" s="14">
        <v>7.5999999999999998E-2</v>
      </c>
      <c r="W18" s="14">
        <v>0.68400000000000005</v>
      </c>
      <c r="X18" s="11">
        <v>152</v>
      </c>
      <c r="Y18" s="10">
        <v>43315</v>
      </c>
      <c r="Z18" s="11">
        <v>9611192254</v>
      </c>
      <c r="AA18" s="12" t="s">
        <v>117</v>
      </c>
      <c r="AB18" s="11" t="s">
        <v>41</v>
      </c>
      <c r="AC18" s="12" t="s">
        <v>42</v>
      </c>
      <c r="AD18" s="11" t="s">
        <v>84</v>
      </c>
      <c r="AE18" s="12" t="s">
        <v>85</v>
      </c>
      <c r="AF18" s="14">
        <v>7.6E-3</v>
      </c>
      <c r="AG18" s="11" t="s">
        <v>45</v>
      </c>
    </row>
    <row r="19" spans="1:33" x14ac:dyDescent="0.2">
      <c r="A19" s="8">
        <v>4355</v>
      </c>
      <c r="B19" s="9" t="s">
        <v>114</v>
      </c>
      <c r="C19" s="10">
        <v>43318</v>
      </c>
      <c r="D19" s="11">
        <v>5</v>
      </c>
      <c r="E19" s="12" t="s">
        <v>34</v>
      </c>
      <c r="F19" s="12" t="s">
        <v>35</v>
      </c>
      <c r="G19" s="12" t="s">
        <v>35</v>
      </c>
      <c r="H19" s="12" t="s">
        <v>36</v>
      </c>
      <c r="I19" s="11" t="s">
        <v>104</v>
      </c>
      <c r="J19" s="12" t="s">
        <v>105</v>
      </c>
      <c r="K19" s="13" t="s">
        <v>58</v>
      </c>
      <c r="L19" s="11" t="str">
        <f>"000038"</f>
        <v>000038</v>
      </c>
      <c r="M19" s="10">
        <v>42804</v>
      </c>
      <c r="N19" s="11" t="str">
        <f>"000021"</f>
        <v>000021</v>
      </c>
      <c r="O19" s="10">
        <v>43069</v>
      </c>
      <c r="P19" s="11" t="str">
        <f>"000021"</f>
        <v>000021</v>
      </c>
      <c r="Q19" s="10">
        <v>43069</v>
      </c>
      <c r="R19" s="11">
        <v>16</v>
      </c>
      <c r="S19" s="11" t="str">
        <f>"004803"</f>
        <v>004803</v>
      </c>
      <c r="T19" s="10">
        <v>43315</v>
      </c>
      <c r="U19" s="14">
        <v>8.0746599999999997</v>
      </c>
      <c r="V19" s="14">
        <v>0.56455999999999995</v>
      </c>
      <c r="W19" s="14">
        <v>7.5101000000000004</v>
      </c>
      <c r="X19" s="11">
        <v>157</v>
      </c>
      <c r="Y19" s="10">
        <v>43318</v>
      </c>
      <c r="Z19" s="11">
        <v>9060589769</v>
      </c>
      <c r="AA19" s="12" t="s">
        <v>106</v>
      </c>
      <c r="AB19" s="11" t="s">
        <v>107</v>
      </c>
      <c r="AC19" s="12" t="s">
        <v>108</v>
      </c>
      <c r="AD19" s="11" t="s">
        <v>49</v>
      </c>
      <c r="AE19" s="12" t="s">
        <v>50</v>
      </c>
      <c r="AF19" s="14">
        <v>8.0746600000000002E-2</v>
      </c>
      <c r="AG19" s="11" t="s">
        <v>45</v>
      </c>
    </row>
    <row r="20" spans="1:33" x14ac:dyDescent="0.2">
      <c r="A20" s="8">
        <v>4356</v>
      </c>
      <c r="B20" s="9" t="s">
        <v>114</v>
      </c>
      <c r="C20" s="10">
        <v>43318</v>
      </c>
      <c r="D20" s="11">
        <v>5</v>
      </c>
      <c r="E20" s="12" t="s">
        <v>34</v>
      </c>
      <c r="F20" s="12" t="s">
        <v>35</v>
      </c>
      <c r="G20" s="12" t="s">
        <v>35</v>
      </c>
      <c r="H20" s="12" t="s">
        <v>36</v>
      </c>
      <c r="I20" s="11" t="s">
        <v>118</v>
      </c>
      <c r="J20" s="12" t="s">
        <v>119</v>
      </c>
      <c r="K20" s="13" t="s">
        <v>39</v>
      </c>
      <c r="L20" s="11" t="str">
        <f>"000012"</f>
        <v>000012</v>
      </c>
      <c r="M20" s="10">
        <v>42513</v>
      </c>
      <c r="N20" s="11" t="str">
        <f>"000006"</f>
        <v>000006</v>
      </c>
      <c r="O20" s="10">
        <v>43059</v>
      </c>
      <c r="P20" s="11" t="str">
        <f>"000008"</f>
        <v>000008</v>
      </c>
      <c r="Q20" s="10">
        <v>43059</v>
      </c>
      <c r="R20" s="11">
        <v>16</v>
      </c>
      <c r="S20" s="11" t="str">
        <f>"004880"</f>
        <v>004880</v>
      </c>
      <c r="T20" s="10">
        <v>43316</v>
      </c>
      <c r="U20" s="14">
        <v>1.37015</v>
      </c>
      <c r="V20" s="14">
        <v>0.12468</v>
      </c>
      <c r="W20" s="14">
        <v>1.2454700000000001</v>
      </c>
      <c r="X20" s="11">
        <v>157</v>
      </c>
      <c r="Y20" s="10">
        <v>43318</v>
      </c>
      <c r="Z20" s="11">
        <v>9448024910</v>
      </c>
      <c r="AA20" s="12" t="s">
        <v>120</v>
      </c>
      <c r="AB20" s="11" t="s">
        <v>112</v>
      </c>
      <c r="AC20" s="12" t="s">
        <v>113</v>
      </c>
      <c r="AD20" s="11" t="s">
        <v>49</v>
      </c>
      <c r="AE20" s="12" t="s">
        <v>50</v>
      </c>
      <c r="AF20" s="14">
        <v>1.37015E-2</v>
      </c>
      <c r="AG20" s="11" t="s">
        <v>45</v>
      </c>
    </row>
    <row r="21" spans="1:33" x14ac:dyDescent="0.2">
      <c r="A21" s="8">
        <v>4717</v>
      </c>
      <c r="B21" s="9" t="s">
        <v>114</v>
      </c>
      <c r="C21" s="10">
        <v>43326</v>
      </c>
      <c r="D21" s="11">
        <v>5</v>
      </c>
      <c r="E21" s="12" t="s">
        <v>34</v>
      </c>
      <c r="F21" s="12" t="s">
        <v>35</v>
      </c>
      <c r="G21" s="12" t="s">
        <v>35</v>
      </c>
      <c r="H21" s="12" t="s">
        <v>36</v>
      </c>
      <c r="I21" s="11" t="s">
        <v>115</v>
      </c>
      <c r="J21" s="12" t="s">
        <v>116</v>
      </c>
      <c r="K21" s="13" t="s">
        <v>65</v>
      </c>
      <c r="L21" s="11" t="str">
        <f>"000007"</f>
        <v>000007</v>
      </c>
      <c r="M21" s="10">
        <v>42355</v>
      </c>
      <c r="N21" s="11" t="str">
        <f>"000033"</f>
        <v>000033</v>
      </c>
      <c r="O21" s="10">
        <v>42765</v>
      </c>
      <c r="P21" s="11" t="str">
        <f>"000033"</f>
        <v>000033</v>
      </c>
      <c r="Q21" s="10">
        <v>42765</v>
      </c>
      <c r="R21" s="11">
        <v>16</v>
      </c>
      <c r="S21" s="11" t="str">
        <f>"004505"</f>
        <v>004505</v>
      </c>
      <c r="T21" s="10">
        <v>43308</v>
      </c>
      <c r="U21" s="14">
        <v>132.63330999999999</v>
      </c>
      <c r="V21" s="14">
        <v>13.40743</v>
      </c>
      <c r="W21" s="14">
        <v>119.22588</v>
      </c>
      <c r="X21" s="11">
        <v>170</v>
      </c>
      <c r="Y21" s="10">
        <v>43326</v>
      </c>
      <c r="Z21" s="11">
        <v>9845736688</v>
      </c>
      <c r="AA21" s="12" t="s">
        <v>121</v>
      </c>
      <c r="AB21" s="11" t="s">
        <v>41</v>
      </c>
      <c r="AC21" s="12" t="s">
        <v>42</v>
      </c>
      <c r="AD21" s="11" t="s">
        <v>84</v>
      </c>
      <c r="AE21" s="12" t="s">
        <v>85</v>
      </c>
      <c r="AF21" s="14">
        <v>1.3263331</v>
      </c>
      <c r="AG21" s="11" t="s">
        <v>45</v>
      </c>
    </row>
    <row r="22" spans="1:33" x14ac:dyDescent="0.2">
      <c r="A22" s="8">
        <v>5004</v>
      </c>
      <c r="B22" s="9" t="s">
        <v>114</v>
      </c>
      <c r="C22" s="10">
        <v>43333</v>
      </c>
      <c r="D22" s="11">
        <v>5</v>
      </c>
      <c r="E22" s="12" t="s">
        <v>34</v>
      </c>
      <c r="F22" s="12" t="s">
        <v>35</v>
      </c>
      <c r="G22" s="12" t="s">
        <v>35</v>
      </c>
      <c r="H22" s="12" t="s">
        <v>36</v>
      </c>
      <c r="I22" s="11" t="s">
        <v>122</v>
      </c>
      <c r="J22" s="12" t="s">
        <v>123</v>
      </c>
      <c r="K22" s="13" t="s">
        <v>39</v>
      </c>
      <c r="L22" s="11" t="str">
        <f>"000047"</f>
        <v>000047</v>
      </c>
      <c r="M22" s="10">
        <v>40150</v>
      </c>
      <c r="N22" s="11" t="str">
        <f>"000022"</f>
        <v>000022</v>
      </c>
      <c r="O22" s="10">
        <v>42068</v>
      </c>
      <c r="P22" s="11" t="str">
        <f>"000630"</f>
        <v>000630</v>
      </c>
      <c r="Q22" s="10">
        <v>42094</v>
      </c>
      <c r="R22" s="11">
        <v>11</v>
      </c>
      <c r="S22" s="11" t="str">
        <f>"000455"</f>
        <v>000455</v>
      </c>
      <c r="T22" s="10">
        <v>42486</v>
      </c>
      <c r="U22" s="14">
        <v>212.96409</v>
      </c>
      <c r="V22" s="14">
        <v>106.48205</v>
      </c>
      <c r="W22" s="14">
        <v>106.48204</v>
      </c>
      <c r="X22" s="11">
        <v>175</v>
      </c>
      <c r="Y22" s="10">
        <v>43333</v>
      </c>
      <c r="Z22" s="11">
        <v>9840686513</v>
      </c>
      <c r="AA22" s="12" t="s">
        <v>124</v>
      </c>
      <c r="AB22" s="11" t="s">
        <v>125</v>
      </c>
      <c r="AC22" s="12" t="s">
        <v>126</v>
      </c>
      <c r="AD22" s="11" t="s">
        <v>127</v>
      </c>
      <c r="AE22" s="12" t="s">
        <v>128</v>
      </c>
      <c r="AF22" s="14">
        <v>2.1296409000000001</v>
      </c>
      <c r="AG22" s="11" t="s">
        <v>45</v>
      </c>
    </row>
    <row r="23" spans="1:33" x14ac:dyDescent="0.2">
      <c r="A23" s="8">
        <v>5435</v>
      </c>
      <c r="B23" s="9" t="s">
        <v>129</v>
      </c>
      <c r="C23" s="10">
        <v>43357</v>
      </c>
      <c r="D23" s="11">
        <v>5</v>
      </c>
      <c r="E23" s="12" t="s">
        <v>34</v>
      </c>
      <c r="F23" s="12" t="s">
        <v>35</v>
      </c>
      <c r="G23" s="12" t="s">
        <v>35</v>
      </c>
      <c r="H23" s="12" t="s">
        <v>36</v>
      </c>
      <c r="I23" s="11" t="s">
        <v>130</v>
      </c>
      <c r="J23" s="12" t="s">
        <v>131</v>
      </c>
      <c r="K23" s="13" t="s">
        <v>132</v>
      </c>
      <c r="L23" s="11" t="str">
        <f>"000073"</f>
        <v>000073</v>
      </c>
      <c r="M23" s="10">
        <v>42886</v>
      </c>
      <c r="N23" s="11" t="str">
        <f>"000021"</f>
        <v>000021</v>
      </c>
      <c r="O23" s="10">
        <v>43061</v>
      </c>
      <c r="P23" s="11" t="str">
        <f>"000053"</f>
        <v>000053</v>
      </c>
      <c r="Q23" s="10">
        <v>43067</v>
      </c>
      <c r="R23" s="11">
        <v>17</v>
      </c>
      <c r="S23" s="11" t="str">
        <f>"005686"</f>
        <v>005686</v>
      </c>
      <c r="T23" s="10">
        <v>43350</v>
      </c>
      <c r="U23" s="14">
        <v>15.68792</v>
      </c>
      <c r="V23" s="14">
        <v>0.64320999999999995</v>
      </c>
      <c r="W23" s="14">
        <v>15.04471</v>
      </c>
      <c r="X23" s="11">
        <v>204</v>
      </c>
      <c r="Y23" s="10">
        <v>43357</v>
      </c>
      <c r="Z23" s="11">
        <v>9448358166</v>
      </c>
      <c r="AA23" s="12" t="s">
        <v>133</v>
      </c>
      <c r="AB23" s="11" t="s">
        <v>134</v>
      </c>
      <c r="AC23" s="12" t="s">
        <v>135</v>
      </c>
      <c r="AD23" s="11" t="s">
        <v>43</v>
      </c>
      <c r="AE23" s="12" t="s">
        <v>44</v>
      </c>
      <c r="AF23" s="14">
        <f t="shared" ref="AF23:AF48" si="0">U23/100</f>
        <v>0.1568792</v>
      </c>
      <c r="AG23" s="11" t="s">
        <v>45</v>
      </c>
    </row>
    <row r="24" spans="1:33" x14ac:dyDescent="0.2">
      <c r="A24" s="8">
        <v>5905</v>
      </c>
      <c r="B24" s="9" t="s">
        <v>136</v>
      </c>
      <c r="C24" s="10">
        <v>43385</v>
      </c>
      <c r="D24" s="11">
        <v>5</v>
      </c>
      <c r="E24" s="12" t="s">
        <v>34</v>
      </c>
      <c r="F24" s="12" t="s">
        <v>35</v>
      </c>
      <c r="G24" s="12" t="s">
        <v>35</v>
      </c>
      <c r="H24" s="12" t="s">
        <v>36</v>
      </c>
      <c r="I24" s="11" t="s">
        <v>115</v>
      </c>
      <c r="J24" s="12" t="s">
        <v>116</v>
      </c>
      <c r="K24" s="13" t="s">
        <v>65</v>
      </c>
      <c r="L24" s="11" t="str">
        <f>"000007"</f>
        <v>000007</v>
      </c>
      <c r="M24" s="10">
        <v>42355</v>
      </c>
      <c r="N24" s="11" t="str">
        <f>"000033"</f>
        <v>000033</v>
      </c>
      <c r="O24" s="10">
        <v>42765</v>
      </c>
      <c r="P24" s="11" t="str">
        <f>"000033"</f>
        <v>000033</v>
      </c>
      <c r="Q24" s="10">
        <v>42765</v>
      </c>
      <c r="R24" s="11">
        <v>16</v>
      </c>
      <c r="S24" s="11" t="str">
        <f>"004505"</f>
        <v>004505</v>
      </c>
      <c r="T24" s="10">
        <v>43308</v>
      </c>
      <c r="U24" s="14">
        <v>1</v>
      </c>
      <c r="V24" s="14">
        <v>0.1</v>
      </c>
      <c r="W24" s="14">
        <v>0.9</v>
      </c>
      <c r="X24" s="11">
        <v>230</v>
      </c>
      <c r="Y24" s="10">
        <v>43385</v>
      </c>
      <c r="Z24" s="11">
        <v>9448353883</v>
      </c>
      <c r="AA24" s="12" t="s">
        <v>137</v>
      </c>
      <c r="AB24" s="11" t="s">
        <v>41</v>
      </c>
      <c r="AC24" s="12" t="s">
        <v>42</v>
      </c>
      <c r="AD24" s="11" t="s">
        <v>84</v>
      </c>
      <c r="AE24" s="12" t="s">
        <v>85</v>
      </c>
      <c r="AF24" s="14">
        <f t="shared" si="0"/>
        <v>0.01</v>
      </c>
      <c r="AG24" s="11" t="s">
        <v>45</v>
      </c>
    </row>
    <row r="25" spans="1:33" x14ac:dyDescent="0.2">
      <c r="A25" s="8">
        <v>6471</v>
      </c>
      <c r="B25" s="9" t="s">
        <v>136</v>
      </c>
      <c r="C25" s="10">
        <v>43389</v>
      </c>
      <c r="D25" s="11">
        <v>5</v>
      </c>
      <c r="E25" s="12" t="s">
        <v>34</v>
      </c>
      <c r="F25" s="12" t="s">
        <v>35</v>
      </c>
      <c r="G25" s="12" t="s">
        <v>35</v>
      </c>
      <c r="H25" s="12" t="s">
        <v>36</v>
      </c>
      <c r="I25" s="11" t="s">
        <v>138</v>
      </c>
      <c r="J25" s="12" t="s">
        <v>139</v>
      </c>
      <c r="K25" s="15" t="s">
        <v>132</v>
      </c>
      <c r="L25" s="11" t="str">
        <f>"000060"</f>
        <v>000060</v>
      </c>
      <c r="M25" s="10">
        <v>42861</v>
      </c>
      <c r="N25" s="11" t="str">
        <f>"000020"</f>
        <v>000020</v>
      </c>
      <c r="O25" s="10">
        <v>43061</v>
      </c>
      <c r="P25" s="11" t="str">
        <f>"000055"</f>
        <v>000055</v>
      </c>
      <c r="Q25" s="10">
        <v>43067</v>
      </c>
      <c r="R25" s="11">
        <v>17</v>
      </c>
      <c r="S25" s="11" t="str">
        <f>"006499"</f>
        <v>006499</v>
      </c>
      <c r="T25" s="10">
        <v>43383</v>
      </c>
      <c r="U25" s="14">
        <v>11.99925</v>
      </c>
      <c r="V25" s="14">
        <v>0.97194000000000003</v>
      </c>
      <c r="W25" s="14">
        <v>11.02731</v>
      </c>
      <c r="X25" s="11">
        <v>241</v>
      </c>
      <c r="Y25" s="10">
        <v>43389</v>
      </c>
      <c r="Z25" s="11">
        <v>9449863065</v>
      </c>
      <c r="AA25" s="12" t="s">
        <v>59</v>
      </c>
      <c r="AB25" s="11" t="s">
        <v>140</v>
      </c>
      <c r="AC25" s="12" t="s">
        <v>141</v>
      </c>
      <c r="AD25" s="11" t="s">
        <v>43</v>
      </c>
      <c r="AE25" s="12" t="s">
        <v>44</v>
      </c>
      <c r="AF25" s="14">
        <f t="shared" si="0"/>
        <v>0.1199925</v>
      </c>
      <c r="AG25" s="11" t="s">
        <v>45</v>
      </c>
    </row>
    <row r="26" spans="1:33" x14ac:dyDescent="0.2">
      <c r="A26" s="8">
        <v>6803</v>
      </c>
      <c r="B26" s="9" t="s">
        <v>136</v>
      </c>
      <c r="C26" s="10">
        <v>43396</v>
      </c>
      <c r="D26" s="11">
        <v>5</v>
      </c>
      <c r="E26" s="12" t="s">
        <v>34</v>
      </c>
      <c r="F26" s="12" t="s">
        <v>35</v>
      </c>
      <c r="G26" s="12" t="s">
        <v>35</v>
      </c>
      <c r="H26" s="12" t="s">
        <v>36</v>
      </c>
      <c r="I26" s="11" t="s">
        <v>77</v>
      </c>
      <c r="J26" s="12" t="s">
        <v>78</v>
      </c>
      <c r="K26" s="13" t="s">
        <v>39</v>
      </c>
      <c r="L26" s="11" t="str">
        <f>"000258"</f>
        <v>000258</v>
      </c>
      <c r="M26" s="10">
        <v>42825</v>
      </c>
      <c r="N26" s="11" t="str">
        <f>"000038"</f>
        <v>000038</v>
      </c>
      <c r="O26" s="10">
        <v>43150</v>
      </c>
      <c r="P26" s="11" t="str">
        <f>"000109"</f>
        <v>000109</v>
      </c>
      <c r="Q26" s="10">
        <v>43152</v>
      </c>
      <c r="R26" s="11">
        <v>16</v>
      </c>
      <c r="S26" s="11" t="str">
        <f>"001076"</f>
        <v>001076</v>
      </c>
      <c r="T26" s="10">
        <v>43224</v>
      </c>
      <c r="U26" s="14">
        <v>388.3836</v>
      </c>
      <c r="V26" s="14">
        <v>11.378729999999999</v>
      </c>
      <c r="W26" s="14">
        <v>377.00486999999998</v>
      </c>
      <c r="X26" s="11">
        <v>246</v>
      </c>
      <c r="Y26" s="10">
        <v>43396</v>
      </c>
      <c r="Z26" s="11">
        <v>9448123078</v>
      </c>
      <c r="AA26" s="12" t="s">
        <v>142</v>
      </c>
      <c r="AB26" s="11" t="s">
        <v>79</v>
      </c>
      <c r="AC26" s="12" t="s">
        <v>80</v>
      </c>
      <c r="AD26" s="11" t="s">
        <v>43</v>
      </c>
      <c r="AE26" s="12" t="s">
        <v>44</v>
      </c>
      <c r="AF26" s="14">
        <f t="shared" si="0"/>
        <v>3.8838360000000001</v>
      </c>
      <c r="AG26" s="11" t="s">
        <v>45</v>
      </c>
    </row>
    <row r="27" spans="1:33" x14ac:dyDescent="0.2">
      <c r="A27" s="8">
        <v>6804</v>
      </c>
      <c r="B27" s="9" t="s">
        <v>136</v>
      </c>
      <c r="C27" s="10">
        <v>43396</v>
      </c>
      <c r="D27" s="11">
        <v>5</v>
      </c>
      <c r="E27" s="12" t="s">
        <v>34</v>
      </c>
      <c r="F27" s="12" t="s">
        <v>35</v>
      </c>
      <c r="G27" s="12" t="s">
        <v>35</v>
      </c>
      <c r="H27" s="12" t="s">
        <v>36</v>
      </c>
      <c r="I27" s="11" t="s">
        <v>143</v>
      </c>
      <c r="J27" s="12" t="s">
        <v>144</v>
      </c>
      <c r="K27" s="13" t="s">
        <v>65</v>
      </c>
      <c r="L27" s="11" t="str">
        <f>"000097"</f>
        <v>000097</v>
      </c>
      <c r="M27" s="10">
        <v>43183</v>
      </c>
      <c r="N27" s="11" t="str">
        <f>"000079"</f>
        <v>000079</v>
      </c>
      <c r="O27" s="10">
        <v>43314</v>
      </c>
      <c r="P27" s="11" t="str">
        <f>"000084"</f>
        <v>000084</v>
      </c>
      <c r="Q27" s="10">
        <v>43321</v>
      </c>
      <c r="R27" s="11">
        <v>18</v>
      </c>
      <c r="S27" s="11" t="str">
        <f>"006897"</f>
        <v>006897</v>
      </c>
      <c r="T27" s="10">
        <v>43393</v>
      </c>
      <c r="U27" s="14">
        <v>98.991150000000005</v>
      </c>
      <c r="V27" s="14">
        <v>9.01708</v>
      </c>
      <c r="W27" s="14">
        <v>89.974069999999998</v>
      </c>
      <c r="X27" s="11">
        <v>246</v>
      </c>
      <c r="Y27" s="10">
        <v>43396</v>
      </c>
      <c r="Z27" s="11">
        <v>9449863064</v>
      </c>
      <c r="AA27" s="12" t="s">
        <v>145</v>
      </c>
      <c r="AB27" s="11" t="s">
        <v>146</v>
      </c>
      <c r="AC27" s="12" t="s">
        <v>147</v>
      </c>
      <c r="AD27" s="11" t="s">
        <v>84</v>
      </c>
      <c r="AE27" s="12" t="s">
        <v>85</v>
      </c>
      <c r="AF27" s="14">
        <f t="shared" si="0"/>
        <v>0.98991150000000006</v>
      </c>
      <c r="AG27" s="11" t="s">
        <v>62</v>
      </c>
    </row>
    <row r="28" spans="1:33" x14ac:dyDescent="0.2">
      <c r="A28" s="8">
        <v>6805</v>
      </c>
      <c r="B28" s="9" t="s">
        <v>136</v>
      </c>
      <c r="C28" s="10">
        <v>43396</v>
      </c>
      <c r="D28" s="11">
        <v>5</v>
      </c>
      <c r="E28" s="12" t="s">
        <v>34</v>
      </c>
      <c r="F28" s="12" t="s">
        <v>35</v>
      </c>
      <c r="G28" s="12" t="s">
        <v>35</v>
      </c>
      <c r="H28" s="12" t="s">
        <v>36</v>
      </c>
      <c r="I28" s="11" t="s">
        <v>148</v>
      </c>
      <c r="J28" s="12" t="s">
        <v>149</v>
      </c>
      <c r="K28" s="13" t="s">
        <v>65</v>
      </c>
      <c r="L28" s="11" t="str">
        <f>"000099"</f>
        <v>000099</v>
      </c>
      <c r="M28" s="10">
        <v>43183</v>
      </c>
      <c r="N28" s="11" t="str">
        <f>"000080"</f>
        <v>000080</v>
      </c>
      <c r="O28" s="10">
        <v>43314</v>
      </c>
      <c r="P28" s="11" t="str">
        <f>"000082"</f>
        <v>000082</v>
      </c>
      <c r="Q28" s="10">
        <v>43321</v>
      </c>
      <c r="R28" s="11">
        <v>18</v>
      </c>
      <c r="S28" s="11" t="str">
        <f>"006898"</f>
        <v>006898</v>
      </c>
      <c r="T28" s="10">
        <v>43393</v>
      </c>
      <c r="U28" s="14">
        <v>98.974180000000004</v>
      </c>
      <c r="V28" s="14">
        <v>9.2045899999999996</v>
      </c>
      <c r="W28" s="14">
        <v>89.769589999999994</v>
      </c>
      <c r="X28" s="11">
        <v>246</v>
      </c>
      <c r="Y28" s="10">
        <v>43396</v>
      </c>
      <c r="Z28" s="11">
        <v>9449863064</v>
      </c>
      <c r="AA28" s="12" t="s">
        <v>145</v>
      </c>
      <c r="AB28" s="11" t="s">
        <v>146</v>
      </c>
      <c r="AC28" s="12" t="s">
        <v>147</v>
      </c>
      <c r="AD28" s="11" t="s">
        <v>84</v>
      </c>
      <c r="AE28" s="12" t="s">
        <v>85</v>
      </c>
      <c r="AF28" s="14">
        <f t="shared" si="0"/>
        <v>0.9897418</v>
      </c>
      <c r="AG28" s="11" t="s">
        <v>62</v>
      </c>
    </row>
    <row r="29" spans="1:33" x14ac:dyDescent="0.2">
      <c r="A29" s="8">
        <v>6806</v>
      </c>
      <c r="B29" s="9" t="s">
        <v>136</v>
      </c>
      <c r="C29" s="10">
        <v>43396</v>
      </c>
      <c r="D29" s="11">
        <v>5</v>
      </c>
      <c r="E29" s="12" t="s">
        <v>34</v>
      </c>
      <c r="F29" s="12" t="s">
        <v>35</v>
      </c>
      <c r="G29" s="12" t="s">
        <v>35</v>
      </c>
      <c r="H29" s="12" t="s">
        <v>36</v>
      </c>
      <c r="I29" s="11" t="s">
        <v>150</v>
      </c>
      <c r="J29" s="12" t="s">
        <v>151</v>
      </c>
      <c r="K29" s="13" t="s">
        <v>65</v>
      </c>
      <c r="L29" s="11" t="str">
        <f>"000096"</f>
        <v>000096</v>
      </c>
      <c r="M29" s="10">
        <v>43183</v>
      </c>
      <c r="N29" s="11" t="str">
        <f>"000078"</f>
        <v>000078</v>
      </c>
      <c r="O29" s="10">
        <v>43314</v>
      </c>
      <c r="P29" s="11" t="str">
        <f>"000085"</f>
        <v>000085</v>
      </c>
      <c r="Q29" s="10">
        <v>43321</v>
      </c>
      <c r="R29" s="11">
        <v>18</v>
      </c>
      <c r="S29" s="11" t="str">
        <f>"006899"</f>
        <v>006899</v>
      </c>
      <c r="T29" s="10">
        <v>43393</v>
      </c>
      <c r="U29" s="14">
        <v>99.012979999999999</v>
      </c>
      <c r="V29" s="14">
        <v>9.1082099999999997</v>
      </c>
      <c r="W29" s="14">
        <v>89.904769999999999</v>
      </c>
      <c r="X29" s="11">
        <v>246</v>
      </c>
      <c r="Y29" s="10">
        <v>43396</v>
      </c>
      <c r="Z29" s="11">
        <v>9449863064</v>
      </c>
      <c r="AA29" s="12" t="s">
        <v>145</v>
      </c>
      <c r="AB29" s="11" t="s">
        <v>146</v>
      </c>
      <c r="AC29" s="12" t="s">
        <v>147</v>
      </c>
      <c r="AD29" s="11" t="s">
        <v>84</v>
      </c>
      <c r="AE29" s="12" t="s">
        <v>85</v>
      </c>
      <c r="AF29" s="14">
        <f t="shared" si="0"/>
        <v>0.99012979999999995</v>
      </c>
      <c r="AG29" s="11" t="s">
        <v>62</v>
      </c>
    </row>
    <row r="30" spans="1:33" x14ac:dyDescent="0.2">
      <c r="A30" s="8">
        <v>6807</v>
      </c>
      <c r="B30" s="9" t="s">
        <v>136</v>
      </c>
      <c r="C30" s="10">
        <v>43396</v>
      </c>
      <c r="D30" s="11">
        <v>5</v>
      </c>
      <c r="E30" s="12" t="s">
        <v>34</v>
      </c>
      <c r="F30" s="12" t="s">
        <v>35</v>
      </c>
      <c r="G30" s="12" t="s">
        <v>35</v>
      </c>
      <c r="H30" s="12" t="s">
        <v>36</v>
      </c>
      <c r="I30" s="11" t="s">
        <v>152</v>
      </c>
      <c r="J30" s="12" t="s">
        <v>153</v>
      </c>
      <c r="K30" s="13" t="s">
        <v>65</v>
      </c>
      <c r="L30" s="11" t="str">
        <f>"000095"</f>
        <v>000095</v>
      </c>
      <c r="M30" s="10">
        <v>43183</v>
      </c>
      <c r="N30" s="11" t="str">
        <f>"000077"</f>
        <v>000077</v>
      </c>
      <c r="O30" s="10">
        <v>43314</v>
      </c>
      <c r="P30" s="11" t="str">
        <f>"000083"</f>
        <v>000083</v>
      </c>
      <c r="Q30" s="10">
        <v>43321</v>
      </c>
      <c r="R30" s="11">
        <v>18</v>
      </c>
      <c r="S30" s="11" t="str">
        <f>"006900"</f>
        <v>006900</v>
      </c>
      <c r="T30" s="10">
        <v>43393</v>
      </c>
      <c r="U30" s="14">
        <v>99.016940000000005</v>
      </c>
      <c r="V30" s="14">
        <v>9.1085799999999999</v>
      </c>
      <c r="W30" s="14">
        <v>89.908360000000002</v>
      </c>
      <c r="X30" s="11">
        <v>246</v>
      </c>
      <c r="Y30" s="10">
        <v>43396</v>
      </c>
      <c r="Z30" s="11">
        <v>9449863064</v>
      </c>
      <c r="AA30" s="12" t="s">
        <v>145</v>
      </c>
      <c r="AB30" s="11" t="s">
        <v>146</v>
      </c>
      <c r="AC30" s="12" t="s">
        <v>147</v>
      </c>
      <c r="AD30" s="11" t="s">
        <v>84</v>
      </c>
      <c r="AE30" s="12" t="s">
        <v>85</v>
      </c>
      <c r="AF30" s="14">
        <f t="shared" si="0"/>
        <v>0.99016940000000009</v>
      </c>
      <c r="AG30" s="11" t="s">
        <v>62</v>
      </c>
    </row>
    <row r="31" spans="1:33" x14ac:dyDescent="0.2">
      <c r="A31" s="8">
        <v>6870</v>
      </c>
      <c r="B31" s="9" t="s">
        <v>136</v>
      </c>
      <c r="C31" s="10">
        <v>43399</v>
      </c>
      <c r="D31" s="11">
        <v>5</v>
      </c>
      <c r="E31" s="12" t="s">
        <v>34</v>
      </c>
      <c r="F31" s="12" t="s">
        <v>35</v>
      </c>
      <c r="G31" s="12" t="s">
        <v>35</v>
      </c>
      <c r="H31" s="12" t="s">
        <v>36</v>
      </c>
      <c r="I31" s="11" t="s">
        <v>154</v>
      </c>
      <c r="J31" s="12" t="s">
        <v>155</v>
      </c>
      <c r="K31" s="13" t="s">
        <v>39</v>
      </c>
      <c r="L31" s="11" t="str">
        <f>"000062"</f>
        <v>000062</v>
      </c>
      <c r="M31" s="10">
        <v>43305</v>
      </c>
      <c r="N31" s="11" t="str">
        <f>"000022"</f>
        <v>000022</v>
      </c>
      <c r="O31" s="10">
        <v>43355</v>
      </c>
      <c r="P31" s="11" t="str">
        <f>"000092"</f>
        <v>000092</v>
      </c>
      <c r="Q31" s="10">
        <v>43357</v>
      </c>
      <c r="R31" s="11">
        <v>16</v>
      </c>
      <c r="S31" s="11" t="str">
        <f>"006941"</f>
        <v>006941</v>
      </c>
      <c r="T31" s="10">
        <v>43398</v>
      </c>
      <c r="U31" s="14">
        <v>1064.48271</v>
      </c>
      <c r="V31" s="14">
        <v>22.354140000000001</v>
      </c>
      <c r="W31" s="14">
        <v>1042.1285700000001</v>
      </c>
      <c r="X31" s="11">
        <v>250</v>
      </c>
      <c r="Y31" s="10">
        <v>43399</v>
      </c>
      <c r="Z31" s="11">
        <v>7090229572</v>
      </c>
      <c r="AA31" s="12" t="s">
        <v>156</v>
      </c>
      <c r="AB31" s="11" t="s">
        <v>41</v>
      </c>
      <c r="AC31" s="12" t="s">
        <v>42</v>
      </c>
      <c r="AD31" s="11" t="s">
        <v>43</v>
      </c>
      <c r="AE31" s="12" t="s">
        <v>44</v>
      </c>
      <c r="AF31" s="14">
        <f t="shared" si="0"/>
        <v>10.644827100000001</v>
      </c>
      <c r="AG31" s="11" t="s">
        <v>157</v>
      </c>
    </row>
    <row r="32" spans="1:33" x14ac:dyDescent="0.2">
      <c r="A32" s="8">
        <v>6972</v>
      </c>
      <c r="B32" s="9" t="s">
        <v>136</v>
      </c>
      <c r="C32" s="10">
        <v>43403</v>
      </c>
      <c r="D32" s="11">
        <v>5</v>
      </c>
      <c r="E32" s="12" t="s">
        <v>34</v>
      </c>
      <c r="F32" s="12" t="s">
        <v>35</v>
      </c>
      <c r="G32" s="12" t="s">
        <v>35</v>
      </c>
      <c r="H32" s="12" t="s">
        <v>36</v>
      </c>
      <c r="I32" s="11" t="s">
        <v>158</v>
      </c>
      <c r="J32" s="12" t="s">
        <v>159</v>
      </c>
      <c r="K32" s="13" t="s">
        <v>39</v>
      </c>
      <c r="L32" s="11" t="str">
        <f>"000001"</f>
        <v>000001</v>
      </c>
      <c r="M32" s="10">
        <v>42970</v>
      </c>
      <c r="N32" s="11" t="str">
        <f>"000033"</f>
        <v>000033</v>
      </c>
      <c r="O32" s="10">
        <v>43132</v>
      </c>
      <c r="P32" s="11" t="str">
        <f>"000094"</f>
        <v>000094</v>
      </c>
      <c r="Q32" s="10">
        <v>43132</v>
      </c>
      <c r="R32" s="11">
        <v>17</v>
      </c>
      <c r="S32" s="11" t="str">
        <f>""</f>
        <v/>
      </c>
      <c r="T32" s="10"/>
      <c r="U32" s="14">
        <v>7.4204600000000003</v>
      </c>
      <c r="V32" s="14">
        <v>0.37845000000000001</v>
      </c>
      <c r="W32" s="14">
        <v>7.0420100000000003</v>
      </c>
      <c r="X32" s="11">
        <v>253</v>
      </c>
      <c r="Y32" s="10">
        <v>43403</v>
      </c>
      <c r="Z32" s="11">
        <v>9900577701</v>
      </c>
      <c r="AA32" s="12" t="s">
        <v>160</v>
      </c>
      <c r="AB32" s="11" t="s">
        <v>72</v>
      </c>
      <c r="AC32" s="12" t="s">
        <v>73</v>
      </c>
      <c r="AD32" s="11" t="s">
        <v>43</v>
      </c>
      <c r="AE32" s="12" t="s">
        <v>44</v>
      </c>
      <c r="AF32" s="14">
        <f t="shared" si="0"/>
        <v>7.4204600000000009E-2</v>
      </c>
      <c r="AG32" s="11" t="s">
        <v>45</v>
      </c>
    </row>
    <row r="33" spans="1:33" x14ac:dyDescent="0.2">
      <c r="A33" s="8">
        <v>6973</v>
      </c>
      <c r="B33" s="9" t="s">
        <v>136</v>
      </c>
      <c r="C33" s="10">
        <v>43403</v>
      </c>
      <c r="D33" s="11">
        <v>5</v>
      </c>
      <c r="E33" s="12" t="s">
        <v>34</v>
      </c>
      <c r="F33" s="12" t="s">
        <v>35</v>
      </c>
      <c r="G33" s="12" t="s">
        <v>35</v>
      </c>
      <c r="H33" s="12" t="s">
        <v>36</v>
      </c>
      <c r="I33" s="11" t="s">
        <v>161</v>
      </c>
      <c r="J33" s="12" t="s">
        <v>162</v>
      </c>
      <c r="K33" s="13" t="s">
        <v>39</v>
      </c>
      <c r="L33" s="11" t="str">
        <f>"000048"</f>
        <v>000048</v>
      </c>
      <c r="M33" s="10">
        <v>42859</v>
      </c>
      <c r="N33" s="11" t="str">
        <f>"000032"</f>
        <v>000032</v>
      </c>
      <c r="O33" s="10">
        <v>43132</v>
      </c>
      <c r="P33" s="11" t="str">
        <f>"000095"</f>
        <v>000095</v>
      </c>
      <c r="Q33" s="10">
        <v>43132</v>
      </c>
      <c r="R33" s="11">
        <v>17</v>
      </c>
      <c r="S33" s="11" t="str">
        <f>""</f>
        <v/>
      </c>
      <c r="T33" s="10"/>
      <c r="U33" s="14">
        <v>7.4869899999999996</v>
      </c>
      <c r="V33" s="14">
        <v>0.38184000000000001</v>
      </c>
      <c r="W33" s="14">
        <v>7.1051500000000001</v>
      </c>
      <c r="X33" s="11">
        <v>253</v>
      </c>
      <c r="Y33" s="10">
        <v>43403</v>
      </c>
      <c r="Z33" s="11">
        <v>9900577701</v>
      </c>
      <c r="AA33" s="12" t="s">
        <v>163</v>
      </c>
      <c r="AB33" s="11" t="s">
        <v>72</v>
      </c>
      <c r="AC33" s="12" t="s">
        <v>73</v>
      </c>
      <c r="AD33" s="11" t="s">
        <v>43</v>
      </c>
      <c r="AE33" s="12" t="s">
        <v>44</v>
      </c>
      <c r="AF33" s="14">
        <f t="shared" si="0"/>
        <v>7.4869899999999989E-2</v>
      </c>
      <c r="AG33" s="11" t="s">
        <v>45</v>
      </c>
    </row>
    <row r="34" spans="1:33" x14ac:dyDescent="0.2">
      <c r="A34" s="8">
        <v>7040</v>
      </c>
      <c r="B34" s="9" t="s">
        <v>136</v>
      </c>
      <c r="C34" s="10">
        <v>43404</v>
      </c>
      <c r="D34" s="11">
        <v>5</v>
      </c>
      <c r="E34" s="12" t="s">
        <v>34</v>
      </c>
      <c r="F34" s="12" t="s">
        <v>35</v>
      </c>
      <c r="G34" s="12" t="s">
        <v>35</v>
      </c>
      <c r="H34" s="12" t="s">
        <v>36</v>
      </c>
      <c r="I34" s="11" t="s">
        <v>164</v>
      </c>
      <c r="J34" s="12" t="s">
        <v>165</v>
      </c>
      <c r="K34" s="13" t="s">
        <v>132</v>
      </c>
      <c r="L34" s="11" t="str">
        <f>"000130"</f>
        <v>000130</v>
      </c>
      <c r="M34" s="10">
        <v>43186</v>
      </c>
      <c r="N34" s="11" t="str">
        <f>"000121"</f>
        <v>000121</v>
      </c>
      <c r="O34" s="10">
        <v>43418</v>
      </c>
      <c r="P34" s="11" t="str">
        <f>"000124"</f>
        <v>000124</v>
      </c>
      <c r="Q34" s="10">
        <v>43427</v>
      </c>
      <c r="R34" s="11">
        <v>18</v>
      </c>
      <c r="S34" s="11" t="str">
        <f>""</f>
        <v/>
      </c>
      <c r="T34" s="10"/>
      <c r="U34" s="14">
        <v>282.78131999999999</v>
      </c>
      <c r="V34" s="14">
        <v>9.6145600000000009</v>
      </c>
      <c r="W34" s="14">
        <v>273.16676000000001</v>
      </c>
      <c r="X34" s="11">
        <v>260</v>
      </c>
      <c r="Y34" s="10">
        <v>43404</v>
      </c>
      <c r="Z34" s="11">
        <v>9900227333</v>
      </c>
      <c r="AA34" s="12" t="s">
        <v>166</v>
      </c>
      <c r="AB34" s="11" t="s">
        <v>90</v>
      </c>
      <c r="AC34" s="12" t="s">
        <v>91</v>
      </c>
      <c r="AD34" s="11" t="s">
        <v>84</v>
      </c>
      <c r="AE34" s="12" t="s">
        <v>85</v>
      </c>
      <c r="AF34" s="14">
        <f t="shared" si="0"/>
        <v>2.8278132</v>
      </c>
      <c r="AG34" s="11" t="s">
        <v>62</v>
      </c>
    </row>
    <row r="35" spans="1:33" x14ac:dyDescent="0.2">
      <c r="A35" s="8">
        <v>7142</v>
      </c>
      <c r="B35" s="9" t="s">
        <v>167</v>
      </c>
      <c r="C35" s="10">
        <v>43418</v>
      </c>
      <c r="D35" s="11">
        <v>5</v>
      </c>
      <c r="E35" s="12" t="s">
        <v>34</v>
      </c>
      <c r="F35" s="12" t="s">
        <v>35</v>
      </c>
      <c r="G35" s="12" t="s">
        <v>35</v>
      </c>
      <c r="H35" s="12" t="s">
        <v>36</v>
      </c>
      <c r="I35" s="11" t="s">
        <v>168</v>
      </c>
      <c r="J35" s="12" t="s">
        <v>169</v>
      </c>
      <c r="K35" s="13" t="s">
        <v>132</v>
      </c>
      <c r="L35" s="11" t="str">
        <f>"000018"</f>
        <v>000018</v>
      </c>
      <c r="M35" s="10">
        <v>43090</v>
      </c>
      <c r="N35" s="11" t="str">
        <f>"000030"</f>
        <v>000030</v>
      </c>
      <c r="O35" s="10">
        <v>43090</v>
      </c>
      <c r="P35" s="11" t="str">
        <f>"000038"</f>
        <v>000038</v>
      </c>
      <c r="Q35" s="10">
        <v>43090</v>
      </c>
      <c r="R35" s="11">
        <v>17</v>
      </c>
      <c r="S35" s="11" t="str">
        <f>"007142"</f>
        <v>007142</v>
      </c>
      <c r="T35" s="10">
        <v>43403</v>
      </c>
      <c r="U35" s="14">
        <v>101.8826</v>
      </c>
      <c r="V35" s="14">
        <v>3.1582300000000001</v>
      </c>
      <c r="W35" s="14">
        <v>98.724369999999993</v>
      </c>
      <c r="X35" s="11">
        <v>261</v>
      </c>
      <c r="Y35" s="10">
        <v>43418</v>
      </c>
      <c r="Z35" s="11">
        <v>9448358166</v>
      </c>
      <c r="AA35" s="12" t="s">
        <v>170</v>
      </c>
      <c r="AB35" s="11" t="s">
        <v>90</v>
      </c>
      <c r="AC35" s="12" t="s">
        <v>91</v>
      </c>
      <c r="AD35" s="11" t="s">
        <v>84</v>
      </c>
      <c r="AE35" s="12" t="s">
        <v>85</v>
      </c>
      <c r="AF35" s="14">
        <f t="shared" si="0"/>
        <v>1.018826</v>
      </c>
      <c r="AG35" s="11" t="s">
        <v>45</v>
      </c>
    </row>
    <row r="36" spans="1:33" x14ac:dyDescent="0.2">
      <c r="A36" s="8">
        <v>7306</v>
      </c>
      <c r="B36" s="9" t="s">
        <v>167</v>
      </c>
      <c r="C36" s="10">
        <v>43424</v>
      </c>
      <c r="D36" s="11">
        <v>5</v>
      </c>
      <c r="E36" s="12" t="s">
        <v>34</v>
      </c>
      <c r="F36" s="12" t="s">
        <v>35</v>
      </c>
      <c r="G36" s="12" t="s">
        <v>35</v>
      </c>
      <c r="H36" s="12" t="s">
        <v>36</v>
      </c>
      <c r="I36" s="11" t="s">
        <v>171</v>
      </c>
      <c r="J36" s="12" t="s">
        <v>172</v>
      </c>
      <c r="K36" s="13" t="s">
        <v>65</v>
      </c>
      <c r="L36" s="11" t="str">
        <f>"000125"</f>
        <v>000125</v>
      </c>
      <c r="M36" s="10">
        <v>43185</v>
      </c>
      <c r="N36" s="11" t="str">
        <f>"000141"</f>
        <v>000141</v>
      </c>
      <c r="O36" s="10">
        <v>43470</v>
      </c>
      <c r="P36" s="11" t="str">
        <f>"000141"</f>
        <v>000141</v>
      </c>
      <c r="Q36" s="10">
        <v>43472</v>
      </c>
      <c r="R36" s="11">
        <v>18</v>
      </c>
      <c r="S36" s="11" t="str">
        <f>""</f>
        <v/>
      </c>
      <c r="T36" s="10"/>
      <c r="U36" s="14">
        <v>145.12037000000001</v>
      </c>
      <c r="V36" s="14">
        <v>12.21913</v>
      </c>
      <c r="W36" s="14">
        <v>132.90124</v>
      </c>
      <c r="X36" s="11">
        <v>271</v>
      </c>
      <c r="Y36" s="10">
        <v>43424</v>
      </c>
      <c r="Z36" s="11">
        <v>9448050627</v>
      </c>
      <c r="AA36" s="12" t="s">
        <v>173</v>
      </c>
      <c r="AB36" s="11" t="s">
        <v>90</v>
      </c>
      <c r="AC36" s="12" t="s">
        <v>91</v>
      </c>
      <c r="AD36" s="11" t="s">
        <v>84</v>
      </c>
      <c r="AE36" s="12" t="s">
        <v>85</v>
      </c>
      <c r="AF36" s="14">
        <f t="shared" si="0"/>
        <v>1.4512037</v>
      </c>
      <c r="AG36" s="11" t="s">
        <v>62</v>
      </c>
    </row>
    <row r="37" spans="1:33" x14ac:dyDescent="0.2">
      <c r="A37" s="8">
        <v>7939</v>
      </c>
      <c r="B37" s="9" t="s">
        <v>174</v>
      </c>
      <c r="C37" s="10">
        <v>43455</v>
      </c>
      <c r="D37" s="11">
        <v>5</v>
      </c>
      <c r="E37" s="12" t="s">
        <v>34</v>
      </c>
      <c r="F37" s="12" t="s">
        <v>35</v>
      </c>
      <c r="G37" s="12" t="s">
        <v>35</v>
      </c>
      <c r="H37" s="12" t="s">
        <v>36</v>
      </c>
      <c r="I37" s="11" t="s">
        <v>175</v>
      </c>
      <c r="J37" s="12" t="s">
        <v>176</v>
      </c>
      <c r="K37" s="13" t="s">
        <v>65</v>
      </c>
      <c r="L37" s="11" t="str">
        <f>"000230"</f>
        <v>000230</v>
      </c>
      <c r="M37" s="10">
        <v>42809</v>
      </c>
      <c r="N37" s="11" t="str">
        <f>"000009"</f>
        <v>000009</v>
      </c>
      <c r="O37" s="10">
        <v>42884</v>
      </c>
      <c r="P37" s="11" t="str">
        <f>"000108"</f>
        <v>000108</v>
      </c>
      <c r="Q37" s="10">
        <v>42886</v>
      </c>
      <c r="R37" s="11">
        <v>17</v>
      </c>
      <c r="S37" s="11" t="str">
        <f>"007752"</f>
        <v>007752</v>
      </c>
      <c r="T37" s="10">
        <v>43441</v>
      </c>
      <c r="U37" s="14">
        <v>9.6770800000000001</v>
      </c>
      <c r="V37" s="14">
        <v>1.24613</v>
      </c>
      <c r="W37" s="14">
        <v>8.4309499999999993</v>
      </c>
      <c r="X37" s="11">
        <v>301</v>
      </c>
      <c r="Y37" s="10">
        <v>43455</v>
      </c>
      <c r="Z37" s="11">
        <v>9880555555</v>
      </c>
      <c r="AA37" s="12" t="s">
        <v>177</v>
      </c>
      <c r="AB37" s="11" t="s">
        <v>72</v>
      </c>
      <c r="AC37" s="12" t="s">
        <v>73</v>
      </c>
      <c r="AD37" s="11" t="s">
        <v>43</v>
      </c>
      <c r="AE37" s="12" t="s">
        <v>44</v>
      </c>
      <c r="AF37" s="14">
        <f t="shared" si="0"/>
        <v>9.6770800000000004E-2</v>
      </c>
      <c r="AG37" s="11" t="s">
        <v>45</v>
      </c>
    </row>
    <row r="38" spans="1:33" x14ac:dyDescent="0.2">
      <c r="A38" s="8">
        <v>7940</v>
      </c>
      <c r="B38" s="9" t="s">
        <v>174</v>
      </c>
      <c r="C38" s="10">
        <v>43455</v>
      </c>
      <c r="D38" s="11">
        <v>5</v>
      </c>
      <c r="E38" s="12" t="s">
        <v>34</v>
      </c>
      <c r="F38" s="12" t="s">
        <v>35</v>
      </c>
      <c r="G38" s="12" t="s">
        <v>35</v>
      </c>
      <c r="H38" s="12" t="s">
        <v>36</v>
      </c>
      <c r="I38" s="11" t="s">
        <v>178</v>
      </c>
      <c r="J38" s="12" t="s">
        <v>179</v>
      </c>
      <c r="K38" s="13" t="s">
        <v>65</v>
      </c>
      <c r="L38" s="11" t="str">
        <f>"000205"</f>
        <v>000205</v>
      </c>
      <c r="M38" s="10">
        <v>42405</v>
      </c>
      <c r="N38" s="11" t="str">
        <f>"000010"</f>
        <v>000010</v>
      </c>
      <c r="O38" s="10">
        <v>42884</v>
      </c>
      <c r="P38" s="11" t="str">
        <f>"000118"</f>
        <v>000118</v>
      </c>
      <c r="Q38" s="10">
        <v>42886</v>
      </c>
      <c r="R38" s="11">
        <v>16</v>
      </c>
      <c r="S38" s="11" t="str">
        <f>"007810"</f>
        <v>007810</v>
      </c>
      <c r="T38" s="10">
        <v>43444</v>
      </c>
      <c r="U38" s="14">
        <v>22.94143</v>
      </c>
      <c r="V38" s="14">
        <v>1.6868799999999999</v>
      </c>
      <c r="W38" s="14">
        <v>21.254549999999998</v>
      </c>
      <c r="X38" s="11">
        <v>301</v>
      </c>
      <c r="Y38" s="10">
        <v>43455</v>
      </c>
      <c r="Z38" s="11">
        <v>7760405418</v>
      </c>
      <c r="AA38" s="12" t="s">
        <v>180</v>
      </c>
      <c r="AB38" s="11" t="s">
        <v>41</v>
      </c>
      <c r="AC38" s="12" t="s">
        <v>42</v>
      </c>
      <c r="AD38" s="11" t="s">
        <v>43</v>
      </c>
      <c r="AE38" s="12" t="s">
        <v>44</v>
      </c>
      <c r="AF38" s="14">
        <f t="shared" si="0"/>
        <v>0.22941430000000002</v>
      </c>
      <c r="AG38" s="11" t="s">
        <v>45</v>
      </c>
    </row>
    <row r="39" spans="1:33" x14ac:dyDescent="0.2">
      <c r="A39" s="8">
        <v>7941</v>
      </c>
      <c r="B39" s="9" t="s">
        <v>174</v>
      </c>
      <c r="C39" s="10">
        <v>43455</v>
      </c>
      <c r="D39" s="11">
        <v>5</v>
      </c>
      <c r="E39" s="12" t="s">
        <v>34</v>
      </c>
      <c r="F39" s="12" t="s">
        <v>35</v>
      </c>
      <c r="G39" s="12" t="s">
        <v>35</v>
      </c>
      <c r="H39" s="12" t="s">
        <v>36</v>
      </c>
      <c r="I39" s="11" t="s">
        <v>181</v>
      </c>
      <c r="J39" s="12" t="s">
        <v>182</v>
      </c>
      <c r="K39" s="13" t="s">
        <v>65</v>
      </c>
      <c r="L39" s="11" t="str">
        <f>"000201"</f>
        <v>000201</v>
      </c>
      <c r="M39" s="10">
        <v>42405</v>
      </c>
      <c r="N39" s="11" t="str">
        <f>"000011"</f>
        <v>000011</v>
      </c>
      <c r="O39" s="10">
        <v>42884</v>
      </c>
      <c r="P39" s="11" t="str">
        <f>"000120"</f>
        <v>000120</v>
      </c>
      <c r="Q39" s="10">
        <v>42886</v>
      </c>
      <c r="R39" s="11">
        <v>16</v>
      </c>
      <c r="S39" s="11" t="str">
        <f>"007811"</f>
        <v>007811</v>
      </c>
      <c r="T39" s="10">
        <v>43444</v>
      </c>
      <c r="U39" s="14">
        <v>37.356499999999997</v>
      </c>
      <c r="V39" s="14">
        <v>2.7690399999999999</v>
      </c>
      <c r="W39" s="14">
        <v>34.58746</v>
      </c>
      <c r="X39" s="11">
        <v>301</v>
      </c>
      <c r="Y39" s="10">
        <v>43455</v>
      </c>
      <c r="Z39" s="11">
        <v>7760405418</v>
      </c>
      <c r="AA39" s="12" t="s">
        <v>180</v>
      </c>
      <c r="AB39" s="11" t="s">
        <v>41</v>
      </c>
      <c r="AC39" s="12" t="s">
        <v>42</v>
      </c>
      <c r="AD39" s="11" t="s">
        <v>43</v>
      </c>
      <c r="AE39" s="12" t="s">
        <v>44</v>
      </c>
      <c r="AF39" s="14">
        <f t="shared" si="0"/>
        <v>0.37356499999999998</v>
      </c>
      <c r="AG39" s="11" t="s">
        <v>45</v>
      </c>
    </row>
    <row r="40" spans="1:33" x14ac:dyDescent="0.2">
      <c r="A40" s="8">
        <v>8147</v>
      </c>
      <c r="B40" s="9" t="s">
        <v>183</v>
      </c>
      <c r="C40" s="10">
        <v>43466</v>
      </c>
      <c r="D40" s="11">
        <v>5</v>
      </c>
      <c r="E40" s="12" t="s">
        <v>34</v>
      </c>
      <c r="F40" s="12" t="s">
        <v>35</v>
      </c>
      <c r="G40" s="12" t="s">
        <v>35</v>
      </c>
      <c r="H40" s="12" t="s">
        <v>36</v>
      </c>
      <c r="I40" s="11" t="s">
        <v>184</v>
      </c>
      <c r="J40" s="12" t="s">
        <v>185</v>
      </c>
      <c r="K40" s="13" t="s">
        <v>132</v>
      </c>
      <c r="L40" s="11" t="str">
        <f>"000055"</f>
        <v>000055</v>
      </c>
      <c r="M40" s="10">
        <v>43180</v>
      </c>
      <c r="N40" s="11" t="str">
        <f>"000117"</f>
        <v>000117</v>
      </c>
      <c r="O40" s="10">
        <v>43399</v>
      </c>
      <c r="P40" s="11" t="str">
        <f>"000117"</f>
        <v>000117</v>
      </c>
      <c r="Q40" s="10">
        <v>43399</v>
      </c>
      <c r="R40" s="11"/>
      <c r="S40" s="11" t="str">
        <f>"008293"</f>
        <v>008293</v>
      </c>
      <c r="T40" s="10">
        <v>43461</v>
      </c>
      <c r="U40" s="14">
        <v>81.991489999999999</v>
      </c>
      <c r="V40" s="14">
        <v>8.2811199999999996</v>
      </c>
      <c r="W40" s="14">
        <v>73.710369999999998</v>
      </c>
      <c r="X40" s="11">
        <v>308</v>
      </c>
      <c r="Y40" s="10">
        <v>43466</v>
      </c>
      <c r="Z40" s="11">
        <v>9449863064</v>
      </c>
      <c r="AA40" s="12" t="s">
        <v>186</v>
      </c>
      <c r="AB40" s="11" t="s">
        <v>146</v>
      </c>
      <c r="AC40" s="12" t="s">
        <v>147</v>
      </c>
      <c r="AD40" s="11" t="s">
        <v>84</v>
      </c>
      <c r="AE40" s="12" t="s">
        <v>85</v>
      </c>
      <c r="AF40" s="14">
        <f t="shared" si="0"/>
        <v>0.8199149</v>
      </c>
      <c r="AG40" s="11" t="s">
        <v>62</v>
      </c>
    </row>
    <row r="41" spans="1:33" x14ac:dyDescent="0.2">
      <c r="A41" s="8">
        <v>8369</v>
      </c>
      <c r="B41" s="9" t="s">
        <v>183</v>
      </c>
      <c r="C41" s="10">
        <v>43467</v>
      </c>
      <c r="D41" s="11">
        <v>5</v>
      </c>
      <c r="E41" s="12" t="s">
        <v>34</v>
      </c>
      <c r="F41" s="12" t="s">
        <v>35</v>
      </c>
      <c r="G41" s="12" t="s">
        <v>35</v>
      </c>
      <c r="H41" s="12" t="s">
        <v>36</v>
      </c>
      <c r="I41" s="11" t="s">
        <v>187</v>
      </c>
      <c r="J41" s="12" t="s">
        <v>188</v>
      </c>
      <c r="K41" s="13" t="s">
        <v>189</v>
      </c>
      <c r="L41" s="11" t="str">
        <f>"000119"</f>
        <v>000119</v>
      </c>
      <c r="M41" s="10">
        <v>43360</v>
      </c>
      <c r="N41" s="11" t="str">
        <f>"000034"</f>
        <v>000034</v>
      </c>
      <c r="O41" s="10">
        <v>43407</v>
      </c>
      <c r="P41" s="11" t="str">
        <f>"000139"</f>
        <v>000139</v>
      </c>
      <c r="Q41" s="10">
        <v>43407</v>
      </c>
      <c r="R41" s="11"/>
      <c r="S41" s="11" t="str">
        <f>"008248"</f>
        <v>008248</v>
      </c>
      <c r="T41" s="10">
        <v>43460</v>
      </c>
      <c r="U41" s="14">
        <v>9.9965899999999994</v>
      </c>
      <c r="V41" s="14">
        <v>1.04966</v>
      </c>
      <c r="W41" s="14">
        <v>8.94693</v>
      </c>
      <c r="X41" s="11">
        <v>311</v>
      </c>
      <c r="Y41" s="10">
        <v>43467</v>
      </c>
      <c r="Z41" s="11">
        <v>9342471293</v>
      </c>
      <c r="AA41" s="12" t="s">
        <v>59</v>
      </c>
      <c r="AB41" s="11" t="s">
        <v>79</v>
      </c>
      <c r="AC41" s="12" t="s">
        <v>80</v>
      </c>
      <c r="AD41" s="11" t="s">
        <v>43</v>
      </c>
      <c r="AE41" s="12" t="s">
        <v>44</v>
      </c>
      <c r="AF41" s="14">
        <f t="shared" si="0"/>
        <v>9.9965899999999996E-2</v>
      </c>
      <c r="AG41" s="11" t="s">
        <v>157</v>
      </c>
    </row>
    <row r="42" spans="1:33" x14ac:dyDescent="0.2">
      <c r="A42" s="8">
        <v>8555</v>
      </c>
      <c r="B42" s="9" t="s">
        <v>183</v>
      </c>
      <c r="C42" s="10">
        <v>43475</v>
      </c>
      <c r="D42" s="11">
        <v>5</v>
      </c>
      <c r="E42" s="12" t="s">
        <v>34</v>
      </c>
      <c r="F42" s="12" t="s">
        <v>35</v>
      </c>
      <c r="G42" s="12" t="s">
        <v>35</v>
      </c>
      <c r="H42" s="12" t="s">
        <v>36</v>
      </c>
      <c r="I42" s="11" t="s">
        <v>190</v>
      </c>
      <c r="J42" s="12" t="s">
        <v>191</v>
      </c>
      <c r="K42" s="13" t="s">
        <v>58</v>
      </c>
      <c r="L42" s="11" t="str">
        <f>"000013"</f>
        <v>000013</v>
      </c>
      <c r="M42" s="10">
        <v>42864</v>
      </c>
      <c r="N42" s="11" t="str">
        <f>"000034"</f>
        <v>000034</v>
      </c>
      <c r="O42" s="10">
        <v>42888</v>
      </c>
      <c r="P42" s="11" t="str">
        <f>"000034"</f>
        <v>000034</v>
      </c>
      <c r="Q42" s="10">
        <v>42889</v>
      </c>
      <c r="R42" s="11"/>
      <c r="S42" s="11" t="str">
        <f>"008214"</f>
        <v>008214</v>
      </c>
      <c r="T42" s="10">
        <v>43455</v>
      </c>
      <c r="U42" s="14">
        <v>1.6120699999999999</v>
      </c>
      <c r="V42" s="14">
        <v>9.8339999999999997E-2</v>
      </c>
      <c r="W42" s="14">
        <v>1.51373</v>
      </c>
      <c r="X42" s="11">
        <v>321</v>
      </c>
      <c r="Y42" s="10">
        <v>43475</v>
      </c>
      <c r="Z42" s="11">
        <v>9341423529</v>
      </c>
      <c r="AA42" s="12" t="s">
        <v>192</v>
      </c>
      <c r="AB42" s="11" t="s">
        <v>54</v>
      </c>
      <c r="AC42" s="12" t="s">
        <v>55</v>
      </c>
      <c r="AD42" s="11" t="s">
        <v>49</v>
      </c>
      <c r="AE42" s="12" t="s">
        <v>50</v>
      </c>
      <c r="AF42" s="14">
        <f t="shared" si="0"/>
        <v>1.6120699999999998E-2</v>
      </c>
      <c r="AG42" s="11" t="s">
        <v>45</v>
      </c>
    </row>
    <row r="43" spans="1:33" x14ac:dyDescent="0.2">
      <c r="A43" s="8">
        <v>8557</v>
      </c>
      <c r="B43" s="9" t="s">
        <v>183</v>
      </c>
      <c r="C43" s="10">
        <v>43475</v>
      </c>
      <c r="D43" s="11">
        <v>5</v>
      </c>
      <c r="E43" s="12" t="s">
        <v>34</v>
      </c>
      <c r="F43" s="12" t="s">
        <v>35</v>
      </c>
      <c r="G43" s="12" t="s">
        <v>35</v>
      </c>
      <c r="H43" s="12" t="s">
        <v>36</v>
      </c>
      <c r="I43" s="11" t="s">
        <v>193</v>
      </c>
      <c r="J43" s="12" t="s">
        <v>194</v>
      </c>
      <c r="K43" s="13" t="s">
        <v>195</v>
      </c>
      <c r="L43" s="11" t="str">
        <f>"000012"</f>
        <v>000012</v>
      </c>
      <c r="M43" s="10">
        <v>42864</v>
      </c>
      <c r="N43" s="11" t="str">
        <f>"000036"</f>
        <v>000036</v>
      </c>
      <c r="O43" s="10">
        <v>42888</v>
      </c>
      <c r="P43" s="11" t="str">
        <f>"000036"</f>
        <v>000036</v>
      </c>
      <c r="Q43" s="10">
        <v>42889</v>
      </c>
      <c r="R43" s="11"/>
      <c r="S43" s="11" t="str">
        <f>"008216"</f>
        <v>008216</v>
      </c>
      <c r="T43" s="10">
        <v>43455</v>
      </c>
      <c r="U43" s="14">
        <v>1.4061900000000001</v>
      </c>
      <c r="V43" s="14">
        <v>5.765E-2</v>
      </c>
      <c r="W43" s="14">
        <v>1.3485400000000001</v>
      </c>
      <c r="X43" s="11">
        <v>321</v>
      </c>
      <c r="Y43" s="10">
        <v>43475</v>
      </c>
      <c r="Z43" s="11">
        <v>9341423529</v>
      </c>
      <c r="AA43" s="12" t="s">
        <v>196</v>
      </c>
      <c r="AB43" s="11" t="s">
        <v>54</v>
      </c>
      <c r="AC43" s="12" t="s">
        <v>55</v>
      </c>
      <c r="AD43" s="11" t="s">
        <v>49</v>
      </c>
      <c r="AE43" s="12" t="s">
        <v>50</v>
      </c>
      <c r="AF43" s="14">
        <f t="shared" si="0"/>
        <v>1.40619E-2</v>
      </c>
      <c r="AG43" s="11" t="s">
        <v>45</v>
      </c>
    </row>
    <row r="44" spans="1:33" x14ac:dyDescent="0.2">
      <c r="A44" s="8">
        <v>8994</v>
      </c>
      <c r="B44" s="9" t="s">
        <v>197</v>
      </c>
      <c r="C44" s="10">
        <v>43503</v>
      </c>
      <c r="D44" s="11">
        <v>5</v>
      </c>
      <c r="E44" s="12" t="s">
        <v>34</v>
      </c>
      <c r="F44" s="12" t="s">
        <v>35</v>
      </c>
      <c r="G44" s="12" t="s">
        <v>35</v>
      </c>
      <c r="H44" s="12" t="s">
        <v>36</v>
      </c>
      <c r="I44" s="11" t="s">
        <v>198</v>
      </c>
      <c r="J44" s="12" t="s">
        <v>199</v>
      </c>
      <c r="K44" s="13" t="s">
        <v>200</v>
      </c>
      <c r="L44" s="11" t="str">
        <f>"000120"</f>
        <v>000120</v>
      </c>
      <c r="M44" s="10">
        <v>43360</v>
      </c>
      <c r="N44" s="11" t="str">
        <f>"000033"</f>
        <v>000033</v>
      </c>
      <c r="O44" s="10">
        <v>43407</v>
      </c>
      <c r="P44" s="11" t="str">
        <f>"000137"</f>
        <v>000137</v>
      </c>
      <c r="Q44" s="10">
        <v>43407</v>
      </c>
      <c r="R44" s="11"/>
      <c r="S44" s="11" t="str">
        <f>"009034"</f>
        <v>009034</v>
      </c>
      <c r="T44" s="10">
        <v>43495</v>
      </c>
      <c r="U44" s="14">
        <v>25.611219999999999</v>
      </c>
      <c r="V44" s="14">
        <v>2.6635499999999999</v>
      </c>
      <c r="W44" s="14">
        <v>22.947669999999999</v>
      </c>
      <c r="X44" s="11">
        <v>343</v>
      </c>
      <c r="Y44" s="10">
        <v>43503</v>
      </c>
      <c r="Z44" s="11">
        <v>9342471293</v>
      </c>
      <c r="AA44" s="12" t="s">
        <v>59</v>
      </c>
      <c r="AB44" s="11" t="s">
        <v>79</v>
      </c>
      <c r="AC44" s="12" t="s">
        <v>80</v>
      </c>
      <c r="AD44" s="11" t="s">
        <v>43</v>
      </c>
      <c r="AE44" s="12" t="s">
        <v>44</v>
      </c>
      <c r="AF44" s="14">
        <f t="shared" si="0"/>
        <v>0.25611220000000001</v>
      </c>
      <c r="AG44" s="11" t="s">
        <v>157</v>
      </c>
    </row>
    <row r="45" spans="1:33" x14ac:dyDescent="0.2">
      <c r="A45" s="8">
        <v>9012</v>
      </c>
      <c r="B45" s="9" t="s">
        <v>197</v>
      </c>
      <c r="C45" s="10">
        <v>43503</v>
      </c>
      <c r="D45" s="11">
        <v>5</v>
      </c>
      <c r="E45" s="12" t="s">
        <v>34</v>
      </c>
      <c r="F45" s="12" t="s">
        <v>35</v>
      </c>
      <c r="G45" s="12" t="s">
        <v>35</v>
      </c>
      <c r="H45" s="12" t="s">
        <v>36</v>
      </c>
      <c r="I45" s="11" t="s">
        <v>37</v>
      </c>
      <c r="J45" s="12" t="s">
        <v>38</v>
      </c>
      <c r="K45" s="13" t="s">
        <v>39</v>
      </c>
      <c r="L45" s="11" t="str">
        <f>"000255"</f>
        <v>000255</v>
      </c>
      <c r="M45" s="10">
        <v>42825</v>
      </c>
      <c r="N45" s="11" t="str">
        <f>"000053"</f>
        <v>000053</v>
      </c>
      <c r="O45" s="10">
        <v>43488</v>
      </c>
      <c r="P45" s="11" t="str">
        <f>"000196"</f>
        <v>000196</v>
      </c>
      <c r="Q45" s="10">
        <v>43488</v>
      </c>
      <c r="R45" s="11"/>
      <c r="S45" s="11" t="str">
        <f>"009100"</f>
        <v>009100</v>
      </c>
      <c r="T45" s="10">
        <v>43502</v>
      </c>
      <c r="U45" s="14">
        <v>9.625</v>
      </c>
      <c r="V45" s="14">
        <v>0.96250000000000002</v>
      </c>
      <c r="W45" s="14">
        <v>8.6624999999999996</v>
      </c>
      <c r="X45" s="11">
        <v>344</v>
      </c>
      <c r="Y45" s="10">
        <v>43503</v>
      </c>
      <c r="Z45" s="11">
        <v>9611192254</v>
      </c>
      <c r="AA45" s="12" t="s">
        <v>40</v>
      </c>
      <c r="AB45" s="11" t="s">
        <v>41</v>
      </c>
      <c r="AC45" s="12" t="s">
        <v>42</v>
      </c>
      <c r="AD45" s="11" t="s">
        <v>43</v>
      </c>
      <c r="AE45" s="12" t="s">
        <v>44</v>
      </c>
      <c r="AF45" s="14">
        <f t="shared" si="0"/>
        <v>9.6250000000000002E-2</v>
      </c>
      <c r="AG45" s="11" t="s">
        <v>62</v>
      </c>
    </row>
    <row r="46" spans="1:33" x14ac:dyDescent="0.2">
      <c r="A46" s="8">
        <v>9762</v>
      </c>
      <c r="B46" s="9" t="s">
        <v>201</v>
      </c>
      <c r="C46" s="10">
        <v>43544</v>
      </c>
      <c r="D46" s="11">
        <v>5</v>
      </c>
      <c r="E46" s="12" t="s">
        <v>34</v>
      </c>
      <c r="F46" s="12" t="s">
        <v>35</v>
      </c>
      <c r="G46" s="12" t="s">
        <v>35</v>
      </c>
      <c r="H46" s="12" t="s">
        <v>36</v>
      </c>
      <c r="I46" s="11" t="s">
        <v>202</v>
      </c>
      <c r="J46" s="12" t="s">
        <v>203</v>
      </c>
      <c r="K46" s="15" t="s">
        <v>132</v>
      </c>
      <c r="L46" s="11" t="str">
        <f>"000014"</f>
        <v>000014</v>
      </c>
      <c r="M46" s="10">
        <v>43038</v>
      </c>
      <c r="N46" s="11" t="str">
        <f>"000030"</f>
        <v>000030</v>
      </c>
      <c r="O46" s="10">
        <v>43130</v>
      </c>
      <c r="P46" s="11" t="str">
        <f>"000092"</f>
        <v>000092</v>
      </c>
      <c r="Q46" s="10">
        <v>43132</v>
      </c>
      <c r="R46" s="11"/>
      <c r="S46" s="11" t="str">
        <f>"009811"</f>
        <v>009811</v>
      </c>
      <c r="T46" s="10">
        <v>43539</v>
      </c>
      <c r="U46" s="14">
        <v>39.985509999999998</v>
      </c>
      <c r="V46" s="14">
        <v>0.83970999999999996</v>
      </c>
      <c r="W46" s="14">
        <v>39.145800000000001</v>
      </c>
      <c r="X46" s="11">
        <v>378</v>
      </c>
      <c r="Y46" s="10">
        <v>43544</v>
      </c>
      <c r="Z46" s="11">
        <v>9448358166</v>
      </c>
      <c r="AA46" s="12" t="s">
        <v>204</v>
      </c>
      <c r="AB46" s="11" t="s">
        <v>72</v>
      </c>
      <c r="AC46" s="12" t="s">
        <v>73</v>
      </c>
      <c r="AD46" s="11" t="s">
        <v>43</v>
      </c>
      <c r="AE46" s="12" t="s">
        <v>44</v>
      </c>
      <c r="AF46" s="14">
        <f t="shared" si="0"/>
        <v>0.39985509999999996</v>
      </c>
      <c r="AG46" s="11" t="s">
        <v>45</v>
      </c>
    </row>
    <row r="47" spans="1:33" x14ac:dyDescent="0.2">
      <c r="A47" s="8">
        <v>9763</v>
      </c>
      <c r="B47" s="9" t="s">
        <v>201</v>
      </c>
      <c r="C47" s="10">
        <v>43544</v>
      </c>
      <c r="D47" s="11">
        <v>5</v>
      </c>
      <c r="E47" s="12" t="s">
        <v>34</v>
      </c>
      <c r="F47" s="12" t="s">
        <v>35</v>
      </c>
      <c r="G47" s="12" t="s">
        <v>35</v>
      </c>
      <c r="H47" s="12" t="s">
        <v>36</v>
      </c>
      <c r="I47" s="11" t="s">
        <v>205</v>
      </c>
      <c r="J47" s="12" t="s">
        <v>206</v>
      </c>
      <c r="K47" s="15" t="s">
        <v>132</v>
      </c>
      <c r="L47" s="11" t="str">
        <f>"000015"</f>
        <v>000015</v>
      </c>
      <c r="M47" s="10">
        <v>43038</v>
      </c>
      <c r="N47" s="11" t="str">
        <f>"000029"</f>
        <v>000029</v>
      </c>
      <c r="O47" s="10">
        <v>43130</v>
      </c>
      <c r="P47" s="11" t="str">
        <f>"000093"</f>
        <v>000093</v>
      </c>
      <c r="Q47" s="10">
        <v>43132</v>
      </c>
      <c r="R47" s="11"/>
      <c r="S47" s="11" t="str">
        <f>"009812"</f>
        <v>009812</v>
      </c>
      <c r="T47" s="10">
        <v>43539</v>
      </c>
      <c r="U47" s="14">
        <v>29.919119999999999</v>
      </c>
      <c r="V47" s="14">
        <v>0.62829999999999997</v>
      </c>
      <c r="W47" s="14">
        <v>29.29082</v>
      </c>
      <c r="X47" s="11">
        <v>378</v>
      </c>
      <c r="Y47" s="10">
        <v>43544</v>
      </c>
      <c r="Z47" s="11">
        <v>9844445446</v>
      </c>
      <c r="AA47" s="12" t="s">
        <v>207</v>
      </c>
      <c r="AB47" s="11" t="s">
        <v>72</v>
      </c>
      <c r="AC47" s="12" t="s">
        <v>73</v>
      </c>
      <c r="AD47" s="11" t="s">
        <v>43</v>
      </c>
      <c r="AE47" s="12" t="s">
        <v>44</v>
      </c>
      <c r="AF47" s="14">
        <f t="shared" si="0"/>
        <v>0.29919119999999999</v>
      </c>
      <c r="AG47" s="11" t="s">
        <v>45</v>
      </c>
    </row>
    <row r="48" spans="1:33" x14ac:dyDescent="0.2">
      <c r="A48" s="8">
        <v>9764</v>
      </c>
      <c r="B48" s="9" t="s">
        <v>201</v>
      </c>
      <c r="C48" s="10">
        <v>43544</v>
      </c>
      <c r="D48" s="11">
        <v>5</v>
      </c>
      <c r="E48" s="12" t="s">
        <v>34</v>
      </c>
      <c r="F48" s="12" t="s">
        <v>35</v>
      </c>
      <c r="G48" s="12" t="s">
        <v>35</v>
      </c>
      <c r="H48" s="12" t="s">
        <v>36</v>
      </c>
      <c r="I48" s="11" t="s">
        <v>208</v>
      </c>
      <c r="J48" s="12" t="s">
        <v>209</v>
      </c>
      <c r="K48" s="13" t="s">
        <v>132</v>
      </c>
      <c r="L48" s="11" t="str">
        <f>"00211 "</f>
        <v xml:space="preserve">00211 </v>
      </c>
      <c r="M48" s="10">
        <v>42801</v>
      </c>
      <c r="N48" s="11" t="str">
        <f>"000041"</f>
        <v>000041</v>
      </c>
      <c r="O48" s="10">
        <v>43154</v>
      </c>
      <c r="P48" s="11" t="str">
        <f>"000120"</f>
        <v>000120</v>
      </c>
      <c r="Q48" s="10">
        <v>43159</v>
      </c>
      <c r="R48" s="11"/>
      <c r="S48" s="11" t="str">
        <f>"009813"</f>
        <v>009813</v>
      </c>
      <c r="T48" s="10">
        <v>43539</v>
      </c>
      <c r="U48" s="14">
        <v>15.654999999999999</v>
      </c>
      <c r="V48" s="14">
        <v>0.95496000000000003</v>
      </c>
      <c r="W48" s="14">
        <v>14.70004</v>
      </c>
      <c r="X48" s="11">
        <v>378</v>
      </c>
      <c r="Y48" s="10">
        <v>43544</v>
      </c>
      <c r="Z48" s="11">
        <v>9448358166</v>
      </c>
      <c r="AA48" s="12" t="s">
        <v>204</v>
      </c>
      <c r="AB48" s="11" t="s">
        <v>72</v>
      </c>
      <c r="AC48" s="12" t="s">
        <v>73</v>
      </c>
      <c r="AD48" s="11" t="s">
        <v>43</v>
      </c>
      <c r="AE48" s="12" t="s">
        <v>44</v>
      </c>
      <c r="AF48" s="14">
        <f t="shared" si="0"/>
        <v>0.15654999999999999</v>
      </c>
      <c r="AG48"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2019-06-12T10:56:23Z</dcterms:modified>
</cp:coreProperties>
</file>