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7" i="1" l="1"/>
  <c r="S67" i="1"/>
  <c r="P67" i="1"/>
  <c r="N67" i="1"/>
  <c r="L67" i="1"/>
  <c r="AF66" i="1"/>
  <c r="S66" i="1"/>
  <c r="P66" i="1"/>
  <c r="N66" i="1"/>
  <c r="L66" i="1"/>
  <c r="AF65" i="1"/>
  <c r="S65" i="1"/>
  <c r="P65" i="1"/>
  <c r="N65" i="1"/>
  <c r="L65" i="1"/>
  <c r="AF64" i="1"/>
  <c r="S64" i="1"/>
  <c r="P64" i="1"/>
  <c r="N64" i="1"/>
  <c r="L64" i="1"/>
  <c r="AF63" i="1"/>
  <c r="S63" i="1"/>
  <c r="P63" i="1"/>
  <c r="N63" i="1"/>
  <c r="L63" i="1"/>
  <c r="AF62" i="1"/>
  <c r="S62" i="1"/>
  <c r="P62" i="1"/>
  <c r="N62" i="1"/>
  <c r="L62" i="1"/>
  <c r="AF61" i="1"/>
  <c r="S61" i="1"/>
  <c r="P61" i="1"/>
  <c r="N61" i="1"/>
  <c r="L61" i="1"/>
  <c r="AF60" i="1"/>
  <c r="S60" i="1"/>
  <c r="P60" i="1"/>
  <c r="N60" i="1"/>
  <c r="L60" i="1"/>
  <c r="AF59" i="1"/>
  <c r="S59" i="1"/>
  <c r="P59" i="1"/>
  <c r="N59" i="1"/>
  <c r="L59" i="1"/>
  <c r="AF58" i="1"/>
  <c r="S58" i="1"/>
  <c r="P58" i="1"/>
  <c r="N58" i="1"/>
  <c r="L58" i="1"/>
  <c r="AF57" i="1"/>
  <c r="S57" i="1"/>
  <c r="P57" i="1"/>
  <c r="N57" i="1"/>
  <c r="L57" i="1"/>
  <c r="AF56" i="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<sst xmlns="http://schemas.openxmlformats.org/spreadsheetml/2006/main" count="958" uniqueCount="241">
  <si>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</si>
  <si>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</si>
  <si>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</si>
  <si>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</si>
  <si>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</si>
  <si>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</si>
  <si>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</si>
  <si>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</si>
  <si>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</si>
  <si>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</si>
  <si>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</si>
  <si>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</si>
  <si>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</si>
  <si>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</si>
  <si>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</si>
  <si>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</si>
  <si>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</si>
  <si>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</si>
  <si>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</si>
  <si>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</si>
  <si>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</si>
  <si>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</si>
  <si>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</si>
  <si>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</si>
  <si>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</si>
  <si>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</si>
  <si>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</si>
  <si>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</si>
  <si>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</si>
  <si>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</si>
  <si>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</si>
  <si>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</si>
  <si>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</si>
  <si>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</si>
  <si>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K R Puram</t>
  </si>
  <si>
    <t>Mahadeva Pura</t>
  </si>
  <si>
    <t>052-17-000019</t>
  </si>
  <si>
    <t>Construction of CC roads at Anandpura Shivappa house side Cross roads and LVS Apartment side cross roads in K.R.Pura ward No.52</t>
  </si>
  <si>
    <t>Roads &amp; Drivablility</t>
  </si>
  <si>
    <t>Sri Thimmegowda Rayegowda Patanahalli</t>
  </si>
  <si>
    <t>P3158</t>
  </si>
  <si>
    <t>SIP Infrastructure Project works</t>
  </si>
  <si>
    <t>ddo362</t>
  </si>
  <si>
    <t xml:space="preserve"> Assistant Executive Engineer K R Pura Mahadevapura Zone</t>
  </si>
  <si>
    <t>Pending</t>
  </si>
  <si>
    <t>052-17-000017</t>
  </si>
  <si>
    <t xml:space="preserve">Construction and improvements of roads, drains at Rajanna Layout, Papanna Layout to Fathiraj road and Papanna house road to Pool chennappa road in K.R.Pura ward No.52 </t>
  </si>
  <si>
    <t>052-17-000022</t>
  </si>
  <si>
    <t>Construction and Improvement road and drain at Sacred Heart road in T.C.Palya in K.R.Pura ward No.52</t>
  </si>
  <si>
    <t>052-17-000020</t>
  </si>
  <si>
    <t>Construction and Improvement road and drain at Abhivrudhi layout , church layout, Vrudhashrama road in K.R.Pura ward No.52</t>
  </si>
  <si>
    <t>052-17-000018</t>
  </si>
  <si>
    <t>Construction of CC roads at T.C Palya , Anandpura , and roads behind St. Anthony church in K.R.Pura ward No.52</t>
  </si>
  <si>
    <t>052-17-000023</t>
  </si>
  <si>
    <t>Construction and Improvement road and drain Kashi Vishwanatha layout and Old Manjunatha layout in K.R.Pura ward No.52</t>
  </si>
  <si>
    <t>052-17-000021</t>
  </si>
  <si>
    <t>Construction and Improvement road and drain from ITI compound to Anandapura road K.R.Pura ward No.52</t>
  </si>
  <si>
    <t>Sri Thimme Gowda RayeGowda Patanahalli,</t>
  </si>
  <si>
    <t>052-16-000004</t>
  </si>
  <si>
    <t>Ward Maintenance work in KRPura ward No52</t>
  </si>
  <si>
    <t>Other Ward Works</t>
  </si>
  <si>
    <t>S V Contractors ( K C Veeranna )</t>
  </si>
  <si>
    <t>P1771</t>
  </si>
  <si>
    <t>Zone Works - POW Works</t>
  </si>
  <si>
    <t>May</t>
  </si>
  <si>
    <t>052-17-000010</t>
  </si>
  <si>
    <t>Providing Additional Streetlights to street lighting system in K R Pura ward no 52</t>
  </si>
  <si>
    <t>Footpaths &amp; Walkability</t>
  </si>
  <si>
    <t>M/s Karthik Electrical</t>
  </si>
  <si>
    <t>P2415</t>
  </si>
  <si>
    <t>Reserve fund for TandF Committee</t>
  </si>
  <si>
    <t>ddo365</t>
  </si>
  <si>
    <t xml:space="preserve"> Executive Engineer Electrical Mahadevapura Zone</t>
  </si>
  <si>
    <t>052-14-000018</t>
  </si>
  <si>
    <t>Amount reserved for Emergency works to K R Pura ward No 52 with the approval of Joint Commissioner Mahadevapura Zone</t>
  </si>
  <si>
    <t>M Venkatachalapathi</t>
  </si>
  <si>
    <t>052-15-000008</t>
  </si>
  <si>
    <t xml:space="preserve"> Asphalting to main roads and cross roads of Subhas nagara in ward No 52 </t>
  </si>
  <si>
    <t>June</t>
  </si>
  <si>
    <t>052-17-000027</t>
  </si>
  <si>
    <t>Development of conservencies in K R Pura ward No 52</t>
  </si>
  <si>
    <t>K.C. Veeranna (S.V. Contractors)</t>
  </si>
  <si>
    <t>052-17-000026</t>
  </si>
  <si>
    <t>Providing Tractor and Gangman in K R Pura ward No 52</t>
  </si>
  <si>
    <t>Sri Sri K.C. Veeranna (Sri.V. Contractors)</t>
  </si>
  <si>
    <t>Spill Over</t>
  </si>
  <si>
    <t>052-16-000018</t>
  </si>
  <si>
    <t>Project management consultancy services including construction supervision and quality control for the works which are carried by the division (GOK grant and Mayor Grant)</t>
  </si>
  <si>
    <t>P3089</t>
  </si>
  <si>
    <t>Special Development works in 7 CMC and 1 TMC area in BBMP</t>
  </si>
  <si>
    <t>052-15-000017</t>
  </si>
  <si>
    <t xml:space="preserve">Improvement to roads and RCC drains in K.R.Pura old extesion in K.R.Pura ward No.52 </t>
  </si>
  <si>
    <t>KRIDL</t>
  </si>
  <si>
    <t>P3075</t>
  </si>
  <si>
    <t>Special comprehensive development works in Bangalore city (Bangalore city in charge Minister Discretionary Grants)</t>
  </si>
  <si>
    <t>052-16-000006</t>
  </si>
  <si>
    <t>Developmental works in TCPalya in KRPura ward No52</t>
  </si>
  <si>
    <t>G Anthony Swamy</t>
  </si>
  <si>
    <t>052-16-000010</t>
  </si>
  <si>
    <t>Developmental works in Bhuvaneshwari layout in KRPura ward No52</t>
  </si>
  <si>
    <t>Bernald Anilkumar</t>
  </si>
  <si>
    <t>July</t>
  </si>
  <si>
    <t>052-18-000020</t>
  </si>
  <si>
    <t>Re-modelling of SWD near Cambride college of MD-272 in ward-52</t>
  </si>
  <si>
    <t>Storm Water Drains</t>
  </si>
  <si>
    <t>Chapalamadgu Ramamoorthy</t>
  </si>
  <si>
    <t>P3106</t>
  </si>
  <si>
    <t>Nagarothana Works</t>
  </si>
  <si>
    <t>ddo313</t>
  </si>
  <si>
    <t xml:space="preserve"> Chief Engineer SWD Central Zone</t>
  </si>
  <si>
    <t>052-15-000018</t>
  </si>
  <si>
    <t>Repairs and Maintanance of Electrical Installations in BBMP Buildings in KRPura Sub Division limit Ward No5253 55</t>
  </si>
  <si>
    <t>M/s Vaishnavi Enterprises</t>
  </si>
  <si>
    <t>P0294</t>
  </si>
  <si>
    <t>M and R to Electrical Inst in BMP Buildings, Schools, M.Homes, Community Halls, Markets and Others</t>
  </si>
  <si>
    <t>052-16-000001</t>
  </si>
  <si>
    <t>Operation and maintanance of street light fittings in ward no 52 K R Pura Mahadevapura Zone M09</t>
  </si>
  <si>
    <t>M/S KARTHIK ELECTRICAL</t>
  </si>
  <si>
    <t>P0300</t>
  </si>
  <si>
    <t>M and R to Street Lights - Replacement of Burnt Bulbs etc. (Package)</t>
  </si>
  <si>
    <t>August</t>
  </si>
  <si>
    <t>052-16-000009</t>
  </si>
  <si>
    <t>Developmental works in KRPuram in KRPura ward No52</t>
  </si>
  <si>
    <t>R. Prabhakar</t>
  </si>
  <si>
    <t>052-16-000016</t>
  </si>
  <si>
    <t>Improvements of roads and Drains in ward no 52</t>
  </si>
  <si>
    <t>052-15-000016</t>
  </si>
  <si>
    <t xml:space="preserve">Improvement to roads and drains in Secred heart layout and Basco Nagara in K.R.Pura ward No.52 </t>
  </si>
  <si>
    <t>052-17-000009</t>
  </si>
  <si>
    <t>LED Pilot project in ward no 52 K R Puram</t>
  </si>
  <si>
    <t>M/S KARTHIK ELECTRICAL C KANTHARAJU</t>
  </si>
  <si>
    <t>P3142</t>
  </si>
  <si>
    <t>LED Pilot Project in Ward No.9, 2, 11, 41, 43, 27, 52, 32, 57, 31, 68, 72,(Each Rs.25Lakhs Ward No.75(Rs.50 Lakhs)</t>
  </si>
  <si>
    <t>October</t>
  </si>
  <si>
    <t>052-16-000005</t>
  </si>
  <si>
    <t>Improvements to drains in K.R.Pura Ward No. 52</t>
  </si>
  <si>
    <t xml:space="preserve">K.C. Veeranna (S.V. Contractors) </t>
  </si>
  <si>
    <t>052-15-000001</t>
  </si>
  <si>
    <t>Construction of Balance work to auditorium Building at Government 1st Grade Collage K R Pura ward no 52 (Phase 2)</t>
  </si>
  <si>
    <t>Public Amenities</t>
  </si>
  <si>
    <t>A</t>
  </si>
  <si>
    <t>Alcon Consulting Engineers (India) Pvt. Ltd.</t>
  </si>
  <si>
    <t>052-17-000040</t>
  </si>
  <si>
    <t>Development of Rajiv Gandhi Play ground in K R Puram ward in K R Puram Constituency</t>
  </si>
  <si>
    <t>Trees, Parks &amp; Playgrounds</t>
  </si>
  <si>
    <t>M. Venkatachalapathy</t>
  </si>
  <si>
    <t>Current</t>
  </si>
  <si>
    <t>052-18-000035</t>
  </si>
  <si>
    <t>Improvements Of CC Drains , Asphalt Roads , CC Roads DNS Layout Roads in K.R.Pura Ward -52</t>
  </si>
  <si>
    <t>V. H. Rangaswamy</t>
  </si>
  <si>
    <t>P3111</t>
  </si>
  <si>
    <t>State Finance Commission Untied Grant Works</t>
  </si>
  <si>
    <t>052-18-000036</t>
  </si>
  <si>
    <t>Improvements Of CC Roads and Drains at Marthamma Layout Roads in K.R.Pura Ward -52</t>
  </si>
  <si>
    <t>November</t>
  </si>
  <si>
    <t>052-18-000032</t>
  </si>
  <si>
    <t>Improvements Of CC Drains And Ashalting In Om Shakthi Layout in K.R.Pura Ward -52</t>
  </si>
  <si>
    <t>Sri. J V Manjunatha Reddy</t>
  </si>
  <si>
    <t>052-18-000033</t>
  </si>
  <si>
    <t>Improvements Of CC Drains , Asphalt Roads at Edden Garden And Roads in K.R.Pura Ward -52</t>
  </si>
  <si>
    <t>052-18-000031</t>
  </si>
  <si>
    <t>Improvements Of CC Drains , Asphalt Roads and CC Roads in Papanna Layout at T.C.Palya in Ward -52 K.R.Pura</t>
  </si>
  <si>
    <t>J.V. MANJUNATHA REDDY</t>
  </si>
  <si>
    <t>052-18-000030</t>
  </si>
  <si>
    <t>Improvements Of CC Drains , Asphalt Roads and CC Roads in BEML Layout at T.C.Palya in Ward -52 K.R.Pura</t>
  </si>
  <si>
    <t>December</t>
  </si>
  <si>
    <t>052-17-000030</t>
  </si>
  <si>
    <t>Developmental works in T C Palya and Anandpura in KRPura ward No 52 K R Puram</t>
  </si>
  <si>
    <t>Sri  Gopala Gowda V</t>
  </si>
  <si>
    <t>052-17-000016</t>
  </si>
  <si>
    <t>Construction of Govt Building in ward no 52 K R Puram</t>
  </si>
  <si>
    <t xml:space="preserve">Sri Raghu P </t>
  </si>
  <si>
    <t>P3173</t>
  </si>
  <si>
    <t>Special Development works in ward No.124, 185, 98, 188, 10, 14, 16, 30, 28, 37, 42, 130, 159, 65, 66, 73, 79, 80, 90, 95, 94, 89, 108, 111, 115, 97, 105, 131, 133, 119, 125, 137, 143, 124, 158, 138, 83, 166, 182, 129, 165, 161, 04, 88, 27, 31, 32, 52, 44, 26, 07, 183, 178, 187 (Rs.100 lakhs per ward)</t>
  </si>
  <si>
    <t>052-17-000012</t>
  </si>
  <si>
    <t>Construction of Govt Degree College ward no 52 K R Puram</t>
  </si>
  <si>
    <t>Sri Raghu P</t>
  </si>
  <si>
    <t>052-18-000003</t>
  </si>
  <si>
    <t>Providing LED street lights in T.C. Palya to signal to Sathy Sai Hospital K.R.Pura Assembly Constituency (Ward No. 52).</t>
  </si>
  <si>
    <t>M/S KARTHIK ELECTRICALS, C KANTHARAJU</t>
  </si>
  <si>
    <t>P0190</t>
  </si>
  <si>
    <t>Works sanctioned by Hon Mayor</t>
  </si>
  <si>
    <t>052-18-000002</t>
  </si>
  <si>
    <t>Providing LED street lights in Vijaya Bank gate to T.C. Palya signal K.R.Pura Assembly Constituency (Ward No. 52)</t>
  </si>
  <si>
    <t>M/S KARTHIK ELECTRICALS, C.KANTHARAJU</t>
  </si>
  <si>
    <t>052-18-000004</t>
  </si>
  <si>
    <t>Providing LED street lights in T.C. Palya to Sathy Sai Hospital to Medahalli K.R.Pura Assembly Constituency (Ward No. 52).</t>
  </si>
  <si>
    <t>052-18-000023</t>
  </si>
  <si>
    <t>Improvements Of CC Drains at Cross Roads Of Margondahali Road Near Anandapura Circle in K.R.Pura Ward -52</t>
  </si>
  <si>
    <t xml:space="preserve">Sri. C.R.Girish </t>
  </si>
  <si>
    <t>052-18-000024</t>
  </si>
  <si>
    <t>Improvements Of CC Drains and Asphalt Roads in Anandpura Cross Roads at Vinayaka temple side in K.R.Pura Ward -52</t>
  </si>
  <si>
    <t>Sri. C.R.Girish</t>
  </si>
  <si>
    <t>052-18-000025</t>
  </si>
  <si>
    <t>Improvements Of CC Drains and Asphalt Roads in Anandpura Cross Roads at Community hall Opposite side in K.R.Pura Ward -52</t>
  </si>
  <si>
    <t>052-18-000026</t>
  </si>
  <si>
    <t>Improvements Of CC Drains at Cross Roads Of Near BSNL office road Margondahali Road in K.R.Pura Ward -52</t>
  </si>
  <si>
    <t xml:space="preserve">Sri. C. R Girish </t>
  </si>
  <si>
    <t>052-18-000027</t>
  </si>
  <si>
    <t>Improvements Of CC Drains in SBI Layout in K.R.Pura Ward -52</t>
  </si>
  <si>
    <t>Sri. C. R Girish</t>
  </si>
  <si>
    <t>052-18-000028</t>
  </si>
  <si>
    <t>Improvements Of CC Drains , Asphalt Roads , CC Roads in Vinayaka Layout near Meenakshi Temple Roads in K.R.Pura Ward -52</t>
  </si>
  <si>
    <t>052-17-000028</t>
  </si>
  <si>
    <t>Concrete Roads Asphalting in K R Pura ward No 52</t>
  </si>
  <si>
    <t>052-17-000031</t>
  </si>
  <si>
    <t>Developmental works in K R Puram in K R Pura ward No 52</t>
  </si>
  <si>
    <t xml:space="preserve">Sri Kumar M C </t>
  </si>
  <si>
    <t>January</t>
  </si>
  <si>
    <t>052-17-000011</t>
  </si>
  <si>
    <t>Developmental works for schools in ward 52 K R Puram</t>
  </si>
  <si>
    <t>Sri Bernard Anil Kumar,</t>
  </si>
  <si>
    <t>P2178</t>
  </si>
  <si>
    <t>Works sanctioned by Dy. Mayor</t>
  </si>
  <si>
    <t>052-18-000058</t>
  </si>
  <si>
    <t xml:space="preserve">Providing lighting arrangements to Indira Canteen at K.R.Puram - in ward no.52 </t>
  </si>
  <si>
    <t>Indira Canteen</t>
  </si>
  <si>
    <t>M/S.KRIDL</t>
  </si>
  <si>
    <t>052-18-000059</t>
  </si>
  <si>
    <t xml:space="preserve">Providing chainlink fencing to Indira Canteen surrounding areas in ward no.52 K.R.Puram </t>
  </si>
  <si>
    <t>052-18-000060</t>
  </si>
  <si>
    <t xml:space="preserve">Providing chainlink fencing to Indira Canteen kitchen surrounding areas in ward no.52 K.R.Puram </t>
  </si>
  <si>
    <t>052-17-000041</t>
  </si>
  <si>
    <t>Development of RajivGandhi Playground in ward No.52</t>
  </si>
  <si>
    <t>Sri. V. Anand</t>
  </si>
  <si>
    <t>P3110</t>
  </si>
  <si>
    <t>14th Finance Commission Grant Works</t>
  </si>
  <si>
    <t>052-18-000029</t>
  </si>
  <si>
    <t>Improvements Of CC Drains and Asphalt Roads in Brundavana Layout Cross Roads in K.R.Pura Ward -52</t>
  </si>
  <si>
    <t>052-18-000019</t>
  </si>
  <si>
    <t>Construction of RCC bridge to SWD across Basavanapura main road in ward no 52</t>
  </si>
  <si>
    <t xml:space="preserve">S L Narayana </t>
  </si>
  <si>
    <t>February</t>
  </si>
  <si>
    <t>052-18-000062</t>
  </si>
  <si>
    <t xml:space="preserve">Providing UPS Batteries and Electrical works for Indira Canteen in Mahadevapura Zone Ward No 52 K.R.Puram </t>
  </si>
  <si>
    <t>March</t>
  </si>
  <si>
    <t>052-18-000015</t>
  </si>
  <si>
    <t>Development of Government School and Aralikatte At Bhattarahalli, K.R.Puram Ward no 52.</t>
  </si>
  <si>
    <t>Sri. C.R. Girish</t>
  </si>
  <si>
    <t>P3321</t>
  </si>
  <si>
    <t>Special Development works at  Yeshwanthpur, Shantinagar, K.R.Puram, Assembly Constituencies Rs.5.00 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</si>
</sst>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tabSelected="1" workbookViewId="0">
      <pane ySplit="1" topLeftCell="A2" activePane="bottomLeft" state="frozen"/>
      <selection activeCell="H1" sqref="H1"/>
      <selection pane="bottomLeft" activeCell="A2" sqref="A2:XFD67"/>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54</v>
      </c>
      <c r="B2" s="9" t="s">
        <v>33</v>
      </c>
      <c r="C2" s="10">
        <v>43194</v>
      </c>
      <c r="D2" s="11">
        <v>52</v>
      </c>
      <c r="E2" s="12" t="s">
        <v>34</v>
      </c>
      <c r="F2" s="12" t="s">
        <v>34</v>
      </c>
      <c r="G2" s="12" t="s">
        <v>34</v>
      </c>
      <c r="H2" s="12" t="s">
        <v>35</v>
      </c>
      <c r="I2" s="11" t="s">
        <v>36</v>
      </c>
      <c r="J2" s="12" t="s">
        <v>37</v>
      </c>
      <c r="K2" s="13" t="s">
        <v>38</v>
      </c>
      <c r="L2" s="11" t="str">
        <f>"000137"</f>
        <v>000137</v>
      </c>
      <c r="M2" s="10">
        <v>43004</v>
      </c>
      <c r="N2" s="11" t="str">
        <f>"000114"</f>
        <v>000114</v>
      </c>
      <c r="O2" s="10">
        <v>43161</v>
      </c>
      <c r="P2" s="11" t="str">
        <f>"000216"</f>
        <v>000216</v>
      </c>
      <c r="Q2" s="10">
        <v>43161</v>
      </c>
      <c r="R2" s="11">
        <v>17</v>
      </c>
      <c r="S2" s="11" t="str">
        <f>"000080"</f>
        <v>000080</v>
      </c>
      <c r="T2" s="10">
        <v>43191</v>
      </c>
      <c r="U2" s="14">
        <v>56.151359999999997</v>
      </c>
      <c r="V2" s="14">
        <v>3.1014900000000001</v>
      </c>
      <c r="W2" s="14">
        <v>53.049869999999999</v>
      </c>
      <c r="X2" s="11">
        <v>1</v>
      </c>
      <c r="Y2" s="10">
        <v>43194</v>
      </c>
      <c r="Z2" s="11">
        <v>9880133688</v>
      </c>
      <c r="AA2" s="12" t="s">
        <v>39</v>
      </c>
      <c r="AB2" s="11" t="s">
        <v>40</v>
      </c>
      <c r="AC2" s="12" t="s">
        <v>41</v>
      </c>
      <c r="AD2" s="11" t="s">
        <v>42</v>
      </c>
      <c r="AE2" s="12" t="s">
        <v>43</v>
      </c>
      <c r="AF2" s="14">
        <v>0.56151359999999995</v>
      </c>
      <c r="AG2" s="11" t="s">
        <v>44</v>
      </c>
    </row>
    <row r="3" spans="1:33" x14ac:dyDescent="0.2">
      <c r="A3" s="8">
        <v>55</v>
      </c>
      <c r="B3" s="9" t="s">
        <v>33</v>
      </c>
      <c r="C3" s="10">
        <v>43194</v>
      </c>
      <c r="D3" s="11">
        <v>52</v>
      </c>
      <c r="E3" s="12" t="s">
        <v>34</v>
      </c>
      <c r="F3" s="12" t="s">
        <v>34</v>
      </c>
      <c r="G3" s="12" t="s">
        <v>34</v>
      </c>
      <c r="H3" s="12" t="s">
        <v>35</v>
      </c>
      <c r="I3" s="11" t="s">
        <v>45</v>
      </c>
      <c r="J3" s="12" t="s">
        <v>46</v>
      </c>
      <c r="K3" s="13" t="s">
        <v>38</v>
      </c>
      <c r="L3" s="11" t="str">
        <f>"000134"</f>
        <v>000134</v>
      </c>
      <c r="M3" s="10">
        <v>43004</v>
      </c>
      <c r="N3" s="11" t="str">
        <f>"000115"</f>
        <v>000115</v>
      </c>
      <c r="O3" s="10">
        <v>43161</v>
      </c>
      <c r="P3" s="11" t="str">
        <f>"000217"</f>
        <v>000217</v>
      </c>
      <c r="Q3" s="10">
        <v>43161</v>
      </c>
      <c r="R3" s="11">
        <v>17</v>
      </c>
      <c r="S3" s="11" t="str">
        <f>"000081"</f>
        <v>000081</v>
      </c>
      <c r="T3" s="10">
        <v>43191</v>
      </c>
      <c r="U3" s="14">
        <v>88.522999999999996</v>
      </c>
      <c r="V3" s="14">
        <v>4.2920400000000001</v>
      </c>
      <c r="W3" s="14">
        <v>84.230959999999996</v>
      </c>
      <c r="X3" s="11">
        <v>1</v>
      </c>
      <c r="Y3" s="10">
        <v>43194</v>
      </c>
      <c r="Z3" s="11">
        <v>9880133688</v>
      </c>
      <c r="AA3" s="12" t="s">
        <v>39</v>
      </c>
      <c r="AB3" s="11" t="s">
        <v>40</v>
      </c>
      <c r="AC3" s="12" t="s">
        <v>41</v>
      </c>
      <c r="AD3" s="11" t="s">
        <v>42</v>
      </c>
      <c r="AE3" s="12" t="s">
        <v>43</v>
      </c>
      <c r="AF3" s="14">
        <v>0.88522999999999996</v>
      </c>
      <c r="AG3" s="11" t="s">
        <v>44</v>
      </c>
    </row>
    <row r="4" spans="1:33" x14ac:dyDescent="0.2">
      <c r="A4" s="8">
        <v>56</v>
      </c>
      <c r="B4" s="9" t="s">
        <v>33</v>
      </c>
      <c r="C4" s="10">
        <v>43194</v>
      </c>
      <c r="D4" s="11">
        <v>52</v>
      </c>
      <c r="E4" s="12" t="s">
        <v>34</v>
      </c>
      <c r="F4" s="12" t="s">
        <v>34</v>
      </c>
      <c r="G4" s="12" t="s">
        <v>34</v>
      </c>
      <c r="H4" s="12" t="s">
        <v>35</v>
      </c>
      <c r="I4" s="11" t="s">
        <v>47</v>
      </c>
      <c r="J4" s="12" t="s">
        <v>48</v>
      </c>
      <c r="K4" s="13" t="s">
        <v>38</v>
      </c>
      <c r="L4" s="11" t="str">
        <f>"000143"</f>
        <v>000143</v>
      </c>
      <c r="M4" s="10">
        <v>43022</v>
      </c>
      <c r="N4" s="11" t="str">
        <f>"000116"</f>
        <v>000116</v>
      </c>
      <c r="O4" s="10">
        <v>43161</v>
      </c>
      <c r="P4" s="11" t="str">
        <f>"000218"</f>
        <v>000218</v>
      </c>
      <c r="Q4" s="10">
        <v>43161</v>
      </c>
      <c r="R4" s="11">
        <v>17</v>
      </c>
      <c r="S4" s="11" t="str">
        <f>"000082"</f>
        <v>000082</v>
      </c>
      <c r="T4" s="10">
        <v>43191</v>
      </c>
      <c r="U4" s="14">
        <v>52.547080000000001</v>
      </c>
      <c r="V4" s="14">
        <v>2.79101</v>
      </c>
      <c r="W4" s="14">
        <v>49.756070000000001</v>
      </c>
      <c r="X4" s="11">
        <v>1</v>
      </c>
      <c r="Y4" s="10">
        <v>43194</v>
      </c>
      <c r="Z4" s="11">
        <v>9880133688</v>
      </c>
      <c r="AA4" s="12" t="s">
        <v>39</v>
      </c>
      <c r="AB4" s="11" t="s">
        <v>40</v>
      </c>
      <c r="AC4" s="12" t="s">
        <v>41</v>
      </c>
      <c r="AD4" s="11" t="s">
        <v>42</v>
      </c>
      <c r="AE4" s="12" t="s">
        <v>43</v>
      </c>
      <c r="AF4" s="14">
        <v>0.52547080000000002</v>
      </c>
      <c r="AG4" s="11" t="s">
        <v>44</v>
      </c>
    </row>
    <row r="5" spans="1:33" x14ac:dyDescent="0.2">
      <c r="A5" s="8">
        <v>57</v>
      </c>
      <c r="B5" s="9" t="s">
        <v>33</v>
      </c>
      <c r="C5" s="10">
        <v>43194</v>
      </c>
      <c r="D5" s="11">
        <v>52</v>
      </c>
      <c r="E5" s="12" t="s">
        <v>34</v>
      </c>
      <c r="F5" s="12" t="s">
        <v>34</v>
      </c>
      <c r="G5" s="12" t="s">
        <v>34</v>
      </c>
      <c r="H5" s="12" t="s">
        <v>35</v>
      </c>
      <c r="I5" s="11" t="s">
        <v>49</v>
      </c>
      <c r="J5" s="12" t="s">
        <v>50</v>
      </c>
      <c r="K5" s="13" t="s">
        <v>38</v>
      </c>
      <c r="L5" s="11" t="str">
        <f>"000142"</f>
        <v>000142</v>
      </c>
      <c r="M5" s="10">
        <v>43022</v>
      </c>
      <c r="N5" s="11" t="str">
        <f>"000113"</f>
        <v>000113</v>
      </c>
      <c r="O5" s="10">
        <v>43161</v>
      </c>
      <c r="P5" s="11" t="str">
        <f>"000215"</f>
        <v>000215</v>
      </c>
      <c r="Q5" s="10">
        <v>43161</v>
      </c>
      <c r="R5" s="11">
        <v>17</v>
      </c>
      <c r="S5" s="11" t="str">
        <f>"000099"</f>
        <v>000099</v>
      </c>
      <c r="T5" s="10">
        <v>43191</v>
      </c>
      <c r="U5" s="14">
        <v>93.077470000000005</v>
      </c>
      <c r="V5" s="14">
        <v>4.3994999999999997</v>
      </c>
      <c r="W5" s="14">
        <v>88.677970000000002</v>
      </c>
      <c r="X5" s="11">
        <v>1</v>
      </c>
      <c r="Y5" s="10">
        <v>43194</v>
      </c>
      <c r="Z5" s="11">
        <v>9880133688</v>
      </c>
      <c r="AA5" s="12" t="s">
        <v>39</v>
      </c>
      <c r="AB5" s="11" t="s">
        <v>40</v>
      </c>
      <c r="AC5" s="12" t="s">
        <v>41</v>
      </c>
      <c r="AD5" s="11" t="s">
        <v>42</v>
      </c>
      <c r="AE5" s="12" t="s">
        <v>43</v>
      </c>
      <c r="AF5" s="14">
        <v>0.93077470000000007</v>
      </c>
      <c r="AG5" s="11" t="s">
        <v>44</v>
      </c>
    </row>
    <row r="6" spans="1:33" x14ac:dyDescent="0.2">
      <c r="A6" s="8">
        <v>185</v>
      </c>
      <c r="B6" s="9" t="s">
        <v>33</v>
      </c>
      <c r="C6" s="10">
        <v>43195</v>
      </c>
      <c r="D6" s="11">
        <v>52</v>
      </c>
      <c r="E6" s="12" t="s">
        <v>34</v>
      </c>
      <c r="F6" s="12" t="s">
        <v>34</v>
      </c>
      <c r="G6" s="12" t="s">
        <v>34</v>
      </c>
      <c r="H6" s="12" t="s">
        <v>35</v>
      </c>
      <c r="I6" s="11" t="s">
        <v>51</v>
      </c>
      <c r="J6" s="12" t="s">
        <v>52</v>
      </c>
      <c r="K6" s="13" t="s">
        <v>38</v>
      </c>
      <c r="L6" s="11" t="str">
        <f>"000138"</f>
        <v>000138</v>
      </c>
      <c r="M6" s="10">
        <v>43004</v>
      </c>
      <c r="N6" s="11" t="str">
        <f>"000064"</f>
        <v>000064</v>
      </c>
      <c r="O6" s="10">
        <v>43015</v>
      </c>
      <c r="P6" s="11" t="str">
        <f>"000082"</f>
        <v>000082</v>
      </c>
      <c r="Q6" s="10">
        <v>43015</v>
      </c>
      <c r="R6" s="11">
        <v>17</v>
      </c>
      <c r="S6" s="11" t="str">
        <f>"007346"</f>
        <v>007346</v>
      </c>
      <c r="T6" s="10">
        <v>43042</v>
      </c>
      <c r="U6" s="14">
        <v>122.67246</v>
      </c>
      <c r="V6" s="14">
        <v>5.9126399999999997</v>
      </c>
      <c r="W6" s="14">
        <v>116.75982</v>
      </c>
      <c r="X6" s="11">
        <v>6</v>
      </c>
      <c r="Y6" s="10">
        <v>43195</v>
      </c>
      <c r="Z6" s="11">
        <v>9880133688</v>
      </c>
      <c r="AA6" s="12" t="s">
        <v>39</v>
      </c>
      <c r="AB6" s="11" t="s">
        <v>40</v>
      </c>
      <c r="AC6" s="12" t="s">
        <v>41</v>
      </c>
      <c r="AD6" s="11" t="s">
        <v>42</v>
      </c>
      <c r="AE6" s="12" t="s">
        <v>43</v>
      </c>
      <c r="AF6" s="14">
        <v>1.2267246000000001</v>
      </c>
      <c r="AG6" s="11" t="s">
        <v>44</v>
      </c>
    </row>
    <row r="7" spans="1:33" x14ac:dyDescent="0.2">
      <c r="A7" s="8">
        <v>244</v>
      </c>
      <c r="B7" s="9" t="s">
        <v>33</v>
      </c>
      <c r="C7" s="10">
        <v>43196</v>
      </c>
      <c r="D7" s="11">
        <v>52</v>
      </c>
      <c r="E7" s="12" t="s">
        <v>34</v>
      </c>
      <c r="F7" s="12" t="s">
        <v>34</v>
      </c>
      <c r="G7" s="12" t="s">
        <v>34</v>
      </c>
      <c r="H7" s="12" t="s">
        <v>35</v>
      </c>
      <c r="I7" s="11" t="s">
        <v>53</v>
      </c>
      <c r="J7" s="12" t="s">
        <v>54</v>
      </c>
      <c r="K7" s="13" t="s">
        <v>38</v>
      </c>
      <c r="L7" s="11" t="str">
        <f>"000135"</f>
        <v>000135</v>
      </c>
      <c r="M7" s="10">
        <v>43004</v>
      </c>
      <c r="N7" s="11" t="str">
        <f>"000122"</f>
        <v>000122</v>
      </c>
      <c r="O7" s="10">
        <v>43173</v>
      </c>
      <c r="P7" s="11" t="str">
        <f>"000231"</f>
        <v>000231</v>
      </c>
      <c r="Q7" s="10">
        <v>43174</v>
      </c>
      <c r="R7" s="11">
        <v>17</v>
      </c>
      <c r="S7" s="11" t="str">
        <f>"000298"</f>
        <v>000298</v>
      </c>
      <c r="T7" s="10">
        <v>43195</v>
      </c>
      <c r="U7" s="14">
        <v>63.608330000000002</v>
      </c>
      <c r="V7" s="14">
        <v>3.71895</v>
      </c>
      <c r="W7" s="14">
        <v>59.889380000000003</v>
      </c>
      <c r="X7" s="11">
        <v>7</v>
      </c>
      <c r="Y7" s="10">
        <v>43196</v>
      </c>
      <c r="Z7" s="11">
        <v>9880133688</v>
      </c>
      <c r="AA7" s="12" t="s">
        <v>39</v>
      </c>
      <c r="AB7" s="11" t="s">
        <v>40</v>
      </c>
      <c r="AC7" s="12" t="s">
        <v>41</v>
      </c>
      <c r="AD7" s="11" t="s">
        <v>42</v>
      </c>
      <c r="AE7" s="12" t="s">
        <v>43</v>
      </c>
      <c r="AF7" s="14">
        <v>0.63608330000000002</v>
      </c>
      <c r="AG7" s="11" t="s">
        <v>44</v>
      </c>
    </row>
    <row r="8" spans="1:33" x14ac:dyDescent="0.2">
      <c r="A8" s="8">
        <v>245</v>
      </c>
      <c r="B8" s="9" t="s">
        <v>33</v>
      </c>
      <c r="C8" s="10">
        <v>43196</v>
      </c>
      <c r="D8" s="11">
        <v>52</v>
      </c>
      <c r="E8" s="12" t="s">
        <v>34</v>
      </c>
      <c r="F8" s="12" t="s">
        <v>34</v>
      </c>
      <c r="G8" s="12" t="s">
        <v>34</v>
      </c>
      <c r="H8" s="12" t="s">
        <v>35</v>
      </c>
      <c r="I8" s="11" t="s">
        <v>55</v>
      </c>
      <c r="J8" s="12" t="s">
        <v>56</v>
      </c>
      <c r="K8" s="13" t="s">
        <v>38</v>
      </c>
      <c r="L8" s="11" t="str">
        <f>"000195"</f>
        <v>000195</v>
      </c>
      <c r="M8" s="10">
        <v>43178</v>
      </c>
      <c r="N8" s="11" t="str">
        <f>"000125"</f>
        <v>000125</v>
      </c>
      <c r="O8" s="10">
        <v>43178</v>
      </c>
      <c r="P8" s="11" t="str">
        <f>"000234"</f>
        <v>000234</v>
      </c>
      <c r="Q8" s="10">
        <v>43178</v>
      </c>
      <c r="R8" s="11">
        <v>17</v>
      </c>
      <c r="S8" s="11" t="str">
        <f>"000331"</f>
        <v>000331</v>
      </c>
      <c r="T8" s="10">
        <v>43196</v>
      </c>
      <c r="U8" s="14">
        <v>134.88911999999999</v>
      </c>
      <c r="V8" s="14">
        <v>6.54399</v>
      </c>
      <c r="W8" s="14">
        <v>128.34513000000001</v>
      </c>
      <c r="X8" s="11">
        <v>7</v>
      </c>
      <c r="Y8" s="10">
        <v>43196</v>
      </c>
      <c r="Z8" s="11">
        <v>9448205866</v>
      </c>
      <c r="AA8" s="12" t="s">
        <v>57</v>
      </c>
      <c r="AB8" s="11" t="s">
        <v>40</v>
      </c>
      <c r="AC8" s="12" t="s">
        <v>41</v>
      </c>
      <c r="AD8" s="11" t="s">
        <v>42</v>
      </c>
      <c r="AE8" s="12" t="s">
        <v>43</v>
      </c>
      <c r="AF8" s="14">
        <v>1.3488912</v>
      </c>
      <c r="AG8" s="11" t="s">
        <v>44</v>
      </c>
    </row>
    <row r="9" spans="1:33" x14ac:dyDescent="0.2">
      <c r="A9" s="8">
        <v>359</v>
      </c>
      <c r="B9" s="9" t="s">
        <v>33</v>
      </c>
      <c r="C9" s="10">
        <v>43200</v>
      </c>
      <c r="D9" s="11">
        <v>52</v>
      </c>
      <c r="E9" s="12" t="s">
        <v>34</v>
      </c>
      <c r="F9" s="12" t="s">
        <v>34</v>
      </c>
      <c r="G9" s="12" t="s">
        <v>34</v>
      </c>
      <c r="H9" s="12" t="s">
        <v>35</v>
      </c>
      <c r="I9" s="11" t="s">
        <v>58</v>
      </c>
      <c r="J9" s="12" t="s">
        <v>59</v>
      </c>
      <c r="K9" s="13" t="s">
        <v>60</v>
      </c>
      <c r="L9" s="11" t="str">
        <f>"000234"</f>
        <v>000234</v>
      </c>
      <c r="M9" s="10">
        <v>42415</v>
      </c>
      <c r="N9" s="11" t="str">
        <f>"000032"</f>
        <v>000032</v>
      </c>
      <c r="O9" s="10">
        <v>42732</v>
      </c>
      <c r="P9" s="11" t="str">
        <f>"000218"</f>
        <v>000218</v>
      </c>
      <c r="Q9" s="10">
        <v>42734</v>
      </c>
      <c r="R9" s="11">
        <v>16</v>
      </c>
      <c r="S9" s="11" t="str">
        <f>"000417"</f>
        <v>000417</v>
      </c>
      <c r="T9" s="10">
        <v>43197</v>
      </c>
      <c r="U9" s="14">
        <v>9.8735900000000001</v>
      </c>
      <c r="V9" s="14">
        <v>1.0989500000000001</v>
      </c>
      <c r="W9" s="14">
        <v>8.7746399999999998</v>
      </c>
      <c r="X9" s="11">
        <v>10</v>
      </c>
      <c r="Y9" s="10">
        <v>43200</v>
      </c>
      <c r="Z9" s="11">
        <v>9845440830</v>
      </c>
      <c r="AA9" s="12" t="s">
        <v>61</v>
      </c>
      <c r="AB9" s="11" t="s">
        <v>62</v>
      </c>
      <c r="AC9" s="12" t="s">
        <v>63</v>
      </c>
      <c r="AD9" s="11" t="s">
        <v>42</v>
      </c>
      <c r="AE9" s="12" t="s">
        <v>43</v>
      </c>
      <c r="AF9" s="14">
        <v>9.8735900000000001E-2</v>
      </c>
      <c r="AG9" s="11" t="s">
        <v>44</v>
      </c>
    </row>
    <row r="10" spans="1:33" x14ac:dyDescent="0.2">
      <c r="A10" s="8">
        <v>1112</v>
      </c>
      <c r="B10" s="9" t="s">
        <v>64</v>
      </c>
      <c r="C10" s="10">
        <v>43230</v>
      </c>
      <c r="D10" s="11">
        <v>52</v>
      </c>
      <c r="E10" s="12" t="s">
        <v>34</v>
      </c>
      <c r="F10" s="12" t="s">
        <v>34</v>
      </c>
      <c r="G10" s="12" t="s">
        <v>34</v>
      </c>
      <c r="H10" s="12" t="s">
        <v>35</v>
      </c>
      <c r="I10" s="11" t="s">
        <v>65</v>
      </c>
      <c r="J10" s="12" t="s">
        <v>66</v>
      </c>
      <c r="K10" s="13" t="s">
        <v>67</v>
      </c>
      <c r="L10" s="11" t="str">
        <f>"000029"</f>
        <v>000029</v>
      </c>
      <c r="M10" s="10">
        <v>42724</v>
      </c>
      <c r="N10" s="11" t="str">
        <f>"000129"</f>
        <v>000129</v>
      </c>
      <c r="O10" s="10">
        <v>42781</v>
      </c>
      <c r="P10" s="11" t="str">
        <f>"000099"</f>
        <v>000099</v>
      </c>
      <c r="Q10" s="10">
        <v>42783</v>
      </c>
      <c r="R10" s="11">
        <v>17</v>
      </c>
      <c r="S10" s="11" t="str">
        <f>"001329"</f>
        <v>001329</v>
      </c>
      <c r="T10" s="10">
        <v>43229</v>
      </c>
      <c r="U10" s="14">
        <v>13.06368</v>
      </c>
      <c r="V10" s="14">
        <v>1.4761899999999999</v>
      </c>
      <c r="W10" s="14">
        <v>11.587490000000001</v>
      </c>
      <c r="X10" s="11">
        <v>48</v>
      </c>
      <c r="Y10" s="10">
        <v>43230</v>
      </c>
      <c r="Z10" s="11">
        <v>9980796171</v>
      </c>
      <c r="AA10" s="12" t="s">
        <v>68</v>
      </c>
      <c r="AB10" s="11" t="s">
        <v>69</v>
      </c>
      <c r="AC10" s="12" t="s">
        <v>70</v>
      </c>
      <c r="AD10" s="11" t="s">
        <v>71</v>
      </c>
      <c r="AE10" s="12" t="s">
        <v>72</v>
      </c>
      <c r="AF10" s="14">
        <v>0.1306368</v>
      </c>
      <c r="AG10" s="11" t="s">
        <v>44</v>
      </c>
    </row>
    <row r="11" spans="1:33" x14ac:dyDescent="0.2">
      <c r="A11" s="8">
        <v>1176</v>
      </c>
      <c r="B11" s="9" t="s">
        <v>64</v>
      </c>
      <c r="C11" s="10">
        <v>43238</v>
      </c>
      <c r="D11" s="11">
        <v>52</v>
      </c>
      <c r="E11" s="12" t="s">
        <v>34</v>
      </c>
      <c r="F11" s="12" t="s">
        <v>34</v>
      </c>
      <c r="G11" s="12" t="s">
        <v>34</v>
      </c>
      <c r="H11" s="12" t="s">
        <v>35</v>
      </c>
      <c r="I11" s="11" t="s">
        <v>73</v>
      </c>
      <c r="J11" s="12" t="s">
        <v>74</v>
      </c>
      <c r="K11" s="13" t="s">
        <v>60</v>
      </c>
      <c r="L11" s="11" t="str">
        <f>"000058"</f>
        <v>000058</v>
      </c>
      <c r="M11" s="10">
        <v>41877</v>
      </c>
      <c r="N11" s="11" t="str">
        <f>"000010"</f>
        <v>000010</v>
      </c>
      <c r="O11" s="10">
        <v>42611</v>
      </c>
      <c r="P11" s="11" t="str">
        <f>"000098"</f>
        <v>000098</v>
      </c>
      <c r="Q11" s="10">
        <v>42612</v>
      </c>
      <c r="R11" s="11">
        <v>14</v>
      </c>
      <c r="S11" s="11" t="str">
        <f>"001450"</f>
        <v>001450</v>
      </c>
      <c r="T11" s="10">
        <v>43236</v>
      </c>
      <c r="U11" s="14">
        <v>4.9914199999999997</v>
      </c>
      <c r="V11" s="14">
        <v>0.54479</v>
      </c>
      <c r="W11" s="14">
        <v>4.4466299999999999</v>
      </c>
      <c r="X11" s="11">
        <v>52</v>
      </c>
      <c r="Y11" s="10">
        <v>43238</v>
      </c>
      <c r="Z11" s="11">
        <v>9611508999</v>
      </c>
      <c r="AA11" s="12" t="s">
        <v>75</v>
      </c>
      <c r="AB11" s="11" t="s">
        <v>62</v>
      </c>
      <c r="AC11" s="12" t="s">
        <v>63</v>
      </c>
      <c r="AD11" s="11" t="s">
        <v>42</v>
      </c>
      <c r="AE11" s="12" t="s">
        <v>43</v>
      </c>
      <c r="AF11" s="14">
        <v>4.9914199999999999E-2</v>
      </c>
      <c r="AG11" s="11" t="s">
        <v>44</v>
      </c>
    </row>
    <row r="12" spans="1:33" x14ac:dyDescent="0.2">
      <c r="A12" s="8">
        <v>1177</v>
      </c>
      <c r="B12" s="9" t="s">
        <v>64</v>
      </c>
      <c r="C12" s="10">
        <v>43238</v>
      </c>
      <c r="D12" s="11">
        <v>52</v>
      </c>
      <c r="E12" s="12" t="s">
        <v>34</v>
      </c>
      <c r="F12" s="12" t="s">
        <v>34</v>
      </c>
      <c r="G12" s="12" t="s">
        <v>34</v>
      </c>
      <c r="H12" s="12" t="s">
        <v>35</v>
      </c>
      <c r="I12" s="11" t="s">
        <v>76</v>
      </c>
      <c r="J12" s="12" t="s">
        <v>77</v>
      </c>
      <c r="K12" s="13" t="s">
        <v>38</v>
      </c>
      <c r="L12" s="11" t="str">
        <f>"O00198"</f>
        <v>O00198</v>
      </c>
      <c r="M12" s="10">
        <v>42114</v>
      </c>
      <c r="N12" s="11" t="str">
        <f>"000013"</f>
        <v>000013</v>
      </c>
      <c r="O12" s="10">
        <v>42613</v>
      </c>
      <c r="P12" s="11" t="str">
        <f>"000114"</f>
        <v>000114</v>
      </c>
      <c r="Q12" s="10">
        <v>42613</v>
      </c>
      <c r="R12" s="11">
        <v>15</v>
      </c>
      <c r="S12" s="11" t="str">
        <f>"001461"</f>
        <v>001461</v>
      </c>
      <c r="T12" s="10">
        <v>43236</v>
      </c>
      <c r="U12" s="14">
        <v>35.917819999999999</v>
      </c>
      <c r="V12" s="14">
        <v>5.4266300000000003</v>
      </c>
      <c r="W12" s="14">
        <v>30.49119</v>
      </c>
      <c r="X12" s="11">
        <v>52</v>
      </c>
      <c r="Y12" s="10">
        <v>43238</v>
      </c>
      <c r="Z12" s="11">
        <v>9611508999</v>
      </c>
      <c r="AA12" s="12" t="s">
        <v>75</v>
      </c>
      <c r="AB12" s="11" t="s">
        <v>62</v>
      </c>
      <c r="AC12" s="12" t="s">
        <v>63</v>
      </c>
      <c r="AD12" s="11" t="s">
        <v>42</v>
      </c>
      <c r="AE12" s="12" t="s">
        <v>43</v>
      </c>
      <c r="AF12" s="14">
        <v>0.3591782</v>
      </c>
      <c r="AG12" s="11" t="s">
        <v>44</v>
      </c>
    </row>
    <row r="13" spans="1:33" x14ac:dyDescent="0.2">
      <c r="A13" s="8">
        <v>1620</v>
      </c>
      <c r="B13" s="9" t="s">
        <v>78</v>
      </c>
      <c r="C13" s="10">
        <v>43252</v>
      </c>
      <c r="D13" s="11">
        <v>52</v>
      </c>
      <c r="E13" s="12" t="s">
        <v>34</v>
      </c>
      <c r="F13" s="12" t="s">
        <v>34</v>
      </c>
      <c r="G13" s="12" t="s">
        <v>34</v>
      </c>
      <c r="H13" s="12" t="s">
        <v>35</v>
      </c>
      <c r="I13" s="11" t="s">
        <v>79</v>
      </c>
      <c r="J13" s="12" t="s">
        <v>80</v>
      </c>
      <c r="K13" s="13" t="s">
        <v>60</v>
      </c>
      <c r="L13" s="11" t="str">
        <f>"000168"</f>
        <v>000168</v>
      </c>
      <c r="M13" s="10">
        <v>42816</v>
      </c>
      <c r="N13" s="11" t="str">
        <f>"000001"</f>
        <v>000001</v>
      </c>
      <c r="O13" s="10">
        <v>42854</v>
      </c>
      <c r="P13" s="11" t="str">
        <f>"000002"</f>
        <v>000002</v>
      </c>
      <c r="Q13" s="10">
        <v>42852</v>
      </c>
      <c r="R13" s="11">
        <v>17</v>
      </c>
      <c r="S13" s="11" t="str">
        <f>"001786"</f>
        <v>001786</v>
      </c>
      <c r="T13" s="10">
        <v>43243</v>
      </c>
      <c r="U13" s="14">
        <v>20.951080000000001</v>
      </c>
      <c r="V13" s="14">
        <v>3.2427299999999999</v>
      </c>
      <c r="W13" s="14">
        <v>17.708349999999999</v>
      </c>
      <c r="X13" s="11">
        <v>66</v>
      </c>
      <c r="Y13" s="10">
        <v>43252</v>
      </c>
      <c r="Z13" s="11">
        <v>9845440830</v>
      </c>
      <c r="AA13" s="12" t="s">
        <v>81</v>
      </c>
      <c r="AB13" s="11" t="s">
        <v>62</v>
      </c>
      <c r="AC13" s="12" t="s">
        <v>63</v>
      </c>
      <c r="AD13" s="11" t="s">
        <v>42</v>
      </c>
      <c r="AE13" s="12" t="s">
        <v>43</v>
      </c>
      <c r="AF13" s="14">
        <v>0.2095108</v>
      </c>
      <c r="AG13" s="11" t="s">
        <v>44</v>
      </c>
    </row>
    <row r="14" spans="1:33" x14ac:dyDescent="0.2">
      <c r="A14" s="8">
        <v>1621</v>
      </c>
      <c r="B14" s="9" t="s">
        <v>78</v>
      </c>
      <c r="C14" s="10">
        <v>43252</v>
      </c>
      <c r="D14" s="11">
        <v>52</v>
      </c>
      <c r="E14" s="12" t="s">
        <v>34</v>
      </c>
      <c r="F14" s="12" t="s">
        <v>34</v>
      </c>
      <c r="G14" s="12" t="s">
        <v>34</v>
      </c>
      <c r="H14" s="12" t="s">
        <v>35</v>
      </c>
      <c r="I14" s="11" t="s">
        <v>82</v>
      </c>
      <c r="J14" s="12" t="s">
        <v>83</v>
      </c>
      <c r="K14" s="13" t="s">
        <v>60</v>
      </c>
      <c r="L14" s="11" t="str">
        <f>"000106"</f>
        <v>000106</v>
      </c>
      <c r="M14" s="10">
        <v>42801</v>
      </c>
      <c r="N14" s="11" t="str">
        <f>"000017"</f>
        <v>000017</v>
      </c>
      <c r="O14" s="10">
        <v>43249</v>
      </c>
      <c r="P14" s="11" t="str">
        <f>"000072"</f>
        <v>000072</v>
      </c>
      <c r="Q14" s="10">
        <v>43249</v>
      </c>
      <c r="R14" s="11">
        <v>17</v>
      </c>
      <c r="S14" s="11" t="str">
        <f>""</f>
        <v/>
      </c>
      <c r="T14" s="10"/>
      <c r="U14" s="14">
        <v>6.6966999999999999</v>
      </c>
      <c r="V14" s="14">
        <v>0.57589999999999997</v>
      </c>
      <c r="W14" s="14">
        <v>6.1208</v>
      </c>
      <c r="X14" s="11">
        <v>66</v>
      </c>
      <c r="Y14" s="10">
        <v>43252</v>
      </c>
      <c r="Z14" s="11">
        <v>0</v>
      </c>
      <c r="AA14" s="12" t="s">
        <v>84</v>
      </c>
      <c r="AB14" s="11" t="s">
        <v>62</v>
      </c>
      <c r="AC14" s="12" t="s">
        <v>63</v>
      </c>
      <c r="AD14" s="11" t="s">
        <v>42</v>
      </c>
      <c r="AE14" s="12" t="s">
        <v>43</v>
      </c>
      <c r="AF14" s="14">
        <v>6.6966999999999999E-2</v>
      </c>
      <c r="AG14" s="11" t="s">
        <v>85</v>
      </c>
    </row>
    <row r="15" spans="1:33" x14ac:dyDescent="0.2">
      <c r="A15" s="8">
        <v>2082</v>
      </c>
      <c r="B15" s="9" t="s">
        <v>78</v>
      </c>
      <c r="C15" s="10">
        <v>43264</v>
      </c>
      <c r="D15" s="11">
        <v>52</v>
      </c>
      <c r="E15" s="12" t="s">
        <v>34</v>
      </c>
      <c r="F15" s="12" t="s">
        <v>34</v>
      </c>
      <c r="G15" s="12" t="s">
        <v>34</v>
      </c>
      <c r="H15" s="12" t="s">
        <v>35</v>
      </c>
      <c r="I15" s="11" t="s">
        <v>86</v>
      </c>
      <c r="J15" s="12" t="s">
        <v>87</v>
      </c>
      <c r="K15" s="13" t="s">
        <v>60</v>
      </c>
      <c r="L15" s="11" t="str">
        <f>"046"</f>
        <v>046</v>
      </c>
      <c r="M15" s="10">
        <v>11</v>
      </c>
      <c r="N15" s="11" t="str">
        <f>"079"</f>
        <v>079</v>
      </c>
      <c r="O15" s="10">
        <v>11</v>
      </c>
      <c r="P15" s="11" t="str">
        <f>"026"</f>
        <v>026</v>
      </c>
      <c r="Q15" s="10">
        <v>11</v>
      </c>
      <c r="R15" s="11">
        <v>16</v>
      </c>
      <c r="S15" s="11" t="str">
        <f>"005348"</f>
        <v>005348</v>
      </c>
      <c r="T15" s="10">
        <v>42982</v>
      </c>
      <c r="U15" s="14">
        <v>30.764099999999999</v>
      </c>
      <c r="V15" s="14">
        <v>1.4362600000000001</v>
      </c>
      <c r="W15" s="14">
        <v>29.327839999999998</v>
      </c>
      <c r="X15" s="11">
        <v>82</v>
      </c>
      <c r="Y15" s="10">
        <v>43264</v>
      </c>
      <c r="Z15" s="11">
        <v>9481420706</v>
      </c>
      <c r="AA15" s="12" t="s">
        <v>75</v>
      </c>
      <c r="AB15" s="11" t="s">
        <v>88</v>
      </c>
      <c r="AC15" s="12" t="s">
        <v>89</v>
      </c>
      <c r="AD15" s="11" t="s">
        <v>42</v>
      </c>
      <c r="AE15" s="12" t="s">
        <v>43</v>
      </c>
      <c r="AF15" s="14">
        <v>0.307641</v>
      </c>
      <c r="AG15" s="11" t="s">
        <v>44</v>
      </c>
    </row>
    <row r="16" spans="1:33" x14ac:dyDescent="0.2">
      <c r="A16" s="8">
        <v>2521</v>
      </c>
      <c r="B16" s="9" t="s">
        <v>78</v>
      </c>
      <c r="C16" s="10">
        <v>43274</v>
      </c>
      <c r="D16" s="11">
        <v>52</v>
      </c>
      <c r="E16" s="12" t="s">
        <v>34</v>
      </c>
      <c r="F16" s="12" t="s">
        <v>34</v>
      </c>
      <c r="G16" s="12" t="s">
        <v>34</v>
      </c>
      <c r="H16" s="12" t="s">
        <v>35</v>
      </c>
      <c r="I16" s="11" t="s">
        <v>90</v>
      </c>
      <c r="J16" s="12" t="s">
        <v>91</v>
      </c>
      <c r="K16" s="13" t="s">
        <v>38</v>
      </c>
      <c r="L16" s="11" t="str">
        <f>"000023"</f>
        <v>000023</v>
      </c>
      <c r="M16" s="10">
        <v>42100</v>
      </c>
      <c r="N16" s="11" t="str">
        <f>"000027"</f>
        <v>000027</v>
      </c>
      <c r="O16" s="10">
        <v>42663</v>
      </c>
      <c r="P16" s="11" t="str">
        <f>"000188"</f>
        <v>000188</v>
      </c>
      <c r="Q16" s="10">
        <v>42663</v>
      </c>
      <c r="R16" s="11">
        <v>15</v>
      </c>
      <c r="S16" s="11" t="str">
        <f>"002753"</f>
        <v>002753</v>
      </c>
      <c r="T16" s="10">
        <v>43271</v>
      </c>
      <c r="U16" s="14">
        <v>34.183790000000002</v>
      </c>
      <c r="V16" s="14">
        <v>5.0050699999999999</v>
      </c>
      <c r="W16" s="14">
        <v>29.178719999999998</v>
      </c>
      <c r="X16" s="11">
        <v>99</v>
      </c>
      <c r="Y16" s="10">
        <v>43274</v>
      </c>
      <c r="Z16" s="11">
        <v>9086343423</v>
      </c>
      <c r="AA16" s="12" t="s">
        <v>92</v>
      </c>
      <c r="AB16" s="11" t="s">
        <v>93</v>
      </c>
      <c r="AC16" s="12" t="s">
        <v>94</v>
      </c>
      <c r="AD16" s="11" t="s">
        <v>42</v>
      </c>
      <c r="AE16" s="12" t="s">
        <v>43</v>
      </c>
      <c r="AF16" s="14">
        <v>0.34183790000000003</v>
      </c>
      <c r="AG16" s="11" t="s">
        <v>44</v>
      </c>
    </row>
    <row r="17" spans="1:33" x14ac:dyDescent="0.2">
      <c r="A17" s="8">
        <v>2522</v>
      </c>
      <c r="B17" s="9" t="s">
        <v>78</v>
      </c>
      <c r="C17" s="10">
        <v>43274</v>
      </c>
      <c r="D17" s="11">
        <v>52</v>
      </c>
      <c r="E17" s="12" t="s">
        <v>34</v>
      </c>
      <c r="F17" s="12" t="s">
        <v>34</v>
      </c>
      <c r="G17" s="12" t="s">
        <v>34</v>
      </c>
      <c r="H17" s="12" t="s">
        <v>35</v>
      </c>
      <c r="I17" s="11" t="s">
        <v>95</v>
      </c>
      <c r="J17" s="12" t="s">
        <v>96</v>
      </c>
      <c r="K17" s="13" t="s">
        <v>60</v>
      </c>
      <c r="L17" s="11" t="str">
        <f>"000262"</f>
        <v>000262</v>
      </c>
      <c r="M17" s="10">
        <v>42444</v>
      </c>
      <c r="N17" s="11" t="str">
        <f>"000028"</f>
        <v>000028</v>
      </c>
      <c r="O17" s="10">
        <v>42663</v>
      </c>
      <c r="P17" s="11" t="str">
        <f>"000189"</f>
        <v>000189</v>
      </c>
      <c r="Q17" s="10">
        <v>42663</v>
      </c>
      <c r="R17" s="11">
        <v>16</v>
      </c>
      <c r="S17" s="11" t="str">
        <f>"002754"</f>
        <v>002754</v>
      </c>
      <c r="T17" s="10">
        <v>43271</v>
      </c>
      <c r="U17" s="14">
        <v>19.49343</v>
      </c>
      <c r="V17" s="14">
        <v>2.7311000000000001</v>
      </c>
      <c r="W17" s="14">
        <v>16.762329999999999</v>
      </c>
      <c r="X17" s="11">
        <v>99</v>
      </c>
      <c r="Y17" s="10">
        <v>43274</v>
      </c>
      <c r="Z17" s="11">
        <v>9880174899</v>
      </c>
      <c r="AA17" s="12" t="s">
        <v>97</v>
      </c>
      <c r="AB17" s="11" t="s">
        <v>62</v>
      </c>
      <c r="AC17" s="12" t="s">
        <v>63</v>
      </c>
      <c r="AD17" s="11" t="s">
        <v>42</v>
      </c>
      <c r="AE17" s="12" t="s">
        <v>43</v>
      </c>
      <c r="AF17" s="14">
        <v>0.1949343</v>
      </c>
      <c r="AG17" s="11" t="s">
        <v>44</v>
      </c>
    </row>
    <row r="18" spans="1:33" x14ac:dyDescent="0.2">
      <c r="A18" s="8">
        <v>2699</v>
      </c>
      <c r="B18" s="9" t="s">
        <v>78</v>
      </c>
      <c r="C18" s="10">
        <v>43278</v>
      </c>
      <c r="D18" s="11">
        <v>52</v>
      </c>
      <c r="E18" s="12" t="s">
        <v>34</v>
      </c>
      <c r="F18" s="12" t="s">
        <v>34</v>
      </c>
      <c r="G18" s="12" t="s">
        <v>34</v>
      </c>
      <c r="H18" s="12" t="s">
        <v>35</v>
      </c>
      <c r="I18" s="11" t="s">
        <v>98</v>
      </c>
      <c r="J18" s="12" t="s">
        <v>99</v>
      </c>
      <c r="K18" s="13" t="s">
        <v>60</v>
      </c>
      <c r="L18" s="11" t="str">
        <f>"O00261"</f>
        <v>O00261</v>
      </c>
      <c r="M18" s="10">
        <v>42444</v>
      </c>
      <c r="N18" s="11" t="str">
        <f>"000029"</f>
        <v>000029</v>
      </c>
      <c r="O18" s="10">
        <v>42663</v>
      </c>
      <c r="P18" s="11" t="str">
        <f>"000190"</f>
        <v>000190</v>
      </c>
      <c r="Q18" s="10">
        <v>42663</v>
      </c>
      <c r="R18" s="11">
        <v>16</v>
      </c>
      <c r="S18" s="11" t="str">
        <f>"003004"</f>
        <v>003004</v>
      </c>
      <c r="T18" s="10">
        <v>43277</v>
      </c>
      <c r="U18" s="14">
        <v>19.339089999999999</v>
      </c>
      <c r="V18" s="14">
        <v>2.65523</v>
      </c>
      <c r="W18" s="14">
        <v>16.683859999999999</v>
      </c>
      <c r="X18" s="11">
        <v>103</v>
      </c>
      <c r="Y18" s="10">
        <v>43278</v>
      </c>
      <c r="Z18" s="11">
        <v>9880174899</v>
      </c>
      <c r="AA18" s="12" t="s">
        <v>100</v>
      </c>
      <c r="AB18" s="11" t="s">
        <v>62</v>
      </c>
      <c r="AC18" s="12" t="s">
        <v>63</v>
      </c>
      <c r="AD18" s="11" t="s">
        <v>42</v>
      </c>
      <c r="AE18" s="12" t="s">
        <v>43</v>
      </c>
      <c r="AF18" s="14">
        <v>0.19339089999999998</v>
      </c>
      <c r="AG18" s="11" t="s">
        <v>44</v>
      </c>
    </row>
    <row r="19" spans="1:33" x14ac:dyDescent="0.2">
      <c r="A19" s="8">
        <v>3220</v>
      </c>
      <c r="B19" s="9" t="s">
        <v>101</v>
      </c>
      <c r="C19" s="10">
        <v>43292</v>
      </c>
      <c r="D19" s="11">
        <v>52</v>
      </c>
      <c r="E19" s="12" t="s">
        <v>34</v>
      </c>
      <c r="F19" s="12" t="s">
        <v>34</v>
      </c>
      <c r="G19" s="12" t="s">
        <v>34</v>
      </c>
      <c r="H19" s="12" t="s">
        <v>35</v>
      </c>
      <c r="I19" s="11" t="s">
        <v>102</v>
      </c>
      <c r="J19" s="12" t="s">
        <v>103</v>
      </c>
      <c r="K19" s="13" t="s">
        <v>104</v>
      </c>
      <c r="L19" s="11" t="str">
        <f>"000005"</f>
        <v>000005</v>
      </c>
      <c r="M19" s="10">
        <v>43131</v>
      </c>
      <c r="N19" s="11" t="str">
        <f>"000001"</f>
        <v>000001</v>
      </c>
      <c r="O19" s="10">
        <v>43210</v>
      </c>
      <c r="P19" s="11" t="str">
        <f>"000021"</f>
        <v>000021</v>
      </c>
      <c r="Q19" s="10">
        <v>43210</v>
      </c>
      <c r="R19" s="11">
        <v>18</v>
      </c>
      <c r="S19" s="11" t="str">
        <f>"003554"</f>
        <v>003554</v>
      </c>
      <c r="T19" s="10">
        <v>43291</v>
      </c>
      <c r="U19" s="14">
        <v>46.93</v>
      </c>
      <c r="V19" s="14">
        <v>1.319</v>
      </c>
      <c r="W19" s="14">
        <v>45.610999999999997</v>
      </c>
      <c r="X19" s="11">
        <v>121</v>
      </c>
      <c r="Y19" s="10">
        <v>43292</v>
      </c>
      <c r="Z19" s="11">
        <v>9448068702</v>
      </c>
      <c r="AA19" s="12" t="s">
        <v>105</v>
      </c>
      <c r="AB19" s="11" t="s">
        <v>106</v>
      </c>
      <c r="AC19" s="12" t="s">
        <v>107</v>
      </c>
      <c r="AD19" s="11" t="s">
        <v>108</v>
      </c>
      <c r="AE19" s="12" t="s">
        <v>109</v>
      </c>
      <c r="AF19" s="14">
        <v>0.46929999999999999</v>
      </c>
      <c r="AG19" s="11" t="s">
        <v>85</v>
      </c>
    </row>
    <row r="20" spans="1:33" x14ac:dyDescent="0.2">
      <c r="A20" s="8">
        <v>3477</v>
      </c>
      <c r="B20" s="9" t="s">
        <v>101</v>
      </c>
      <c r="C20" s="10">
        <v>43299</v>
      </c>
      <c r="D20" s="11">
        <v>52</v>
      </c>
      <c r="E20" s="12" t="s">
        <v>34</v>
      </c>
      <c r="F20" s="12" t="s">
        <v>34</v>
      </c>
      <c r="G20" s="12" t="s">
        <v>34</v>
      </c>
      <c r="H20" s="12" t="s">
        <v>35</v>
      </c>
      <c r="I20" s="11" t="s">
        <v>110</v>
      </c>
      <c r="J20" s="12" t="s">
        <v>111</v>
      </c>
      <c r="K20" s="13" t="s">
        <v>60</v>
      </c>
      <c r="L20" s="11" t="str">
        <f>"000014"</f>
        <v>000014</v>
      </c>
      <c r="M20" s="10">
        <v>42949</v>
      </c>
      <c r="N20" s="11" t="str">
        <f>"000016"</f>
        <v>000016</v>
      </c>
      <c r="O20" s="10">
        <v>42949</v>
      </c>
      <c r="P20" s="11" t="str">
        <f>"000016"</f>
        <v>000016</v>
      </c>
      <c r="Q20" s="10">
        <v>42949</v>
      </c>
      <c r="R20" s="11">
        <v>15</v>
      </c>
      <c r="S20" s="11" t="str">
        <f>"003483"</f>
        <v>003483</v>
      </c>
      <c r="T20" s="10">
        <v>43291</v>
      </c>
      <c r="U20" s="14">
        <v>1.01511</v>
      </c>
      <c r="V20" s="14">
        <v>0.12311</v>
      </c>
      <c r="W20" s="14">
        <v>0.89200000000000002</v>
      </c>
      <c r="X20" s="11">
        <v>127</v>
      </c>
      <c r="Y20" s="10">
        <v>43299</v>
      </c>
      <c r="Z20" s="11">
        <v>9342541594</v>
      </c>
      <c r="AA20" s="12" t="s">
        <v>112</v>
      </c>
      <c r="AB20" s="11" t="s">
        <v>113</v>
      </c>
      <c r="AC20" s="12" t="s">
        <v>114</v>
      </c>
      <c r="AD20" s="11" t="s">
        <v>71</v>
      </c>
      <c r="AE20" s="12" t="s">
        <v>72</v>
      </c>
      <c r="AF20" s="14">
        <v>1.01511E-2</v>
      </c>
      <c r="AG20" s="11" t="s">
        <v>44</v>
      </c>
    </row>
    <row r="21" spans="1:33" x14ac:dyDescent="0.2">
      <c r="A21" s="8">
        <v>3478</v>
      </c>
      <c r="B21" s="9" t="s">
        <v>101</v>
      </c>
      <c r="C21" s="10">
        <v>43299</v>
      </c>
      <c r="D21" s="11">
        <v>52</v>
      </c>
      <c r="E21" s="12" t="s">
        <v>34</v>
      </c>
      <c r="F21" s="12" t="s">
        <v>34</v>
      </c>
      <c r="G21" s="12" t="s">
        <v>34</v>
      </c>
      <c r="H21" s="12" t="s">
        <v>35</v>
      </c>
      <c r="I21" s="11" t="s">
        <v>115</v>
      </c>
      <c r="J21" s="12" t="s">
        <v>116</v>
      </c>
      <c r="K21" s="13" t="s">
        <v>67</v>
      </c>
      <c r="L21" s="11" t="str">
        <f>"000024"</f>
        <v>000024</v>
      </c>
      <c r="M21" s="10">
        <v>42656</v>
      </c>
      <c r="N21" s="11" t="str">
        <f>"000041"</f>
        <v>000041</v>
      </c>
      <c r="O21" s="10">
        <v>43334</v>
      </c>
      <c r="P21" s="11" t="str">
        <f>"000040"</f>
        <v>000040</v>
      </c>
      <c r="Q21" s="10">
        <v>43334</v>
      </c>
      <c r="R21" s="11">
        <v>16</v>
      </c>
      <c r="S21" s="11" t="str">
        <f>""</f>
        <v/>
      </c>
      <c r="T21" s="10"/>
      <c r="U21" s="14">
        <v>2.9498199999999999</v>
      </c>
      <c r="V21" s="14">
        <v>0.29881999999999997</v>
      </c>
      <c r="W21" s="14">
        <v>2.6509999999999998</v>
      </c>
      <c r="X21" s="11">
        <v>127</v>
      </c>
      <c r="Y21" s="10">
        <v>43299</v>
      </c>
      <c r="Z21" s="11">
        <v>9980796171</v>
      </c>
      <c r="AA21" s="12" t="s">
        <v>117</v>
      </c>
      <c r="AB21" s="11" t="s">
        <v>118</v>
      </c>
      <c r="AC21" s="12" t="s">
        <v>119</v>
      </c>
      <c r="AD21" s="11" t="s">
        <v>71</v>
      </c>
      <c r="AE21" s="12" t="s">
        <v>72</v>
      </c>
      <c r="AF21" s="14">
        <v>2.9498199999999999E-2</v>
      </c>
      <c r="AG21" s="11" t="s">
        <v>85</v>
      </c>
    </row>
    <row r="22" spans="1:33" x14ac:dyDescent="0.2">
      <c r="A22" s="8">
        <v>3722</v>
      </c>
      <c r="B22" s="9" t="s">
        <v>101</v>
      </c>
      <c r="C22" s="10">
        <v>43301</v>
      </c>
      <c r="D22" s="11">
        <v>52</v>
      </c>
      <c r="E22" s="12" t="s">
        <v>34</v>
      </c>
      <c r="F22" s="12" t="s">
        <v>34</v>
      </c>
      <c r="G22" s="12" t="s">
        <v>34</v>
      </c>
      <c r="H22" s="12" t="s">
        <v>35</v>
      </c>
      <c r="I22" s="11" t="s">
        <v>115</v>
      </c>
      <c r="J22" s="12" t="s">
        <v>116</v>
      </c>
      <c r="K22" s="13" t="s">
        <v>67</v>
      </c>
      <c r="L22" s="11" t="str">
        <f>"000024"</f>
        <v>000024</v>
      </c>
      <c r="M22" s="10">
        <v>42656</v>
      </c>
      <c r="N22" s="11" t="str">
        <f>"000041"</f>
        <v>000041</v>
      </c>
      <c r="O22" s="10">
        <v>43334</v>
      </c>
      <c r="P22" s="11" t="str">
        <f>"000040"</f>
        <v>000040</v>
      </c>
      <c r="Q22" s="10">
        <v>43334</v>
      </c>
      <c r="R22" s="11">
        <v>16</v>
      </c>
      <c r="S22" s="11" t="str">
        <f>""</f>
        <v/>
      </c>
      <c r="T22" s="10"/>
      <c r="U22" s="14">
        <v>3.0202200000000001</v>
      </c>
      <c r="V22" s="14">
        <v>0.37634000000000001</v>
      </c>
      <c r="W22" s="14">
        <v>2.6438799999999998</v>
      </c>
      <c r="X22" s="11">
        <v>134</v>
      </c>
      <c r="Y22" s="10">
        <v>43301</v>
      </c>
      <c r="Z22" s="11">
        <v>9980796171</v>
      </c>
      <c r="AA22" s="12" t="s">
        <v>117</v>
      </c>
      <c r="AB22" s="11" t="s">
        <v>118</v>
      </c>
      <c r="AC22" s="12" t="s">
        <v>119</v>
      </c>
      <c r="AD22" s="11" t="s">
        <v>71</v>
      </c>
      <c r="AE22" s="12" t="s">
        <v>72</v>
      </c>
      <c r="AF22" s="14">
        <v>3.0202200000000002E-2</v>
      </c>
      <c r="AG22" s="11" t="s">
        <v>85</v>
      </c>
    </row>
    <row r="23" spans="1:33" x14ac:dyDescent="0.2">
      <c r="A23" s="8">
        <v>4092</v>
      </c>
      <c r="B23" s="9" t="s">
        <v>101</v>
      </c>
      <c r="C23" s="10">
        <v>43308</v>
      </c>
      <c r="D23" s="11">
        <v>52</v>
      </c>
      <c r="E23" s="12" t="s">
        <v>34</v>
      </c>
      <c r="F23" s="12" t="s">
        <v>34</v>
      </c>
      <c r="G23" s="12" t="s">
        <v>34</v>
      </c>
      <c r="H23" s="12" t="s">
        <v>35</v>
      </c>
      <c r="I23" s="11" t="s">
        <v>115</v>
      </c>
      <c r="J23" s="12" t="s">
        <v>116</v>
      </c>
      <c r="K23" s="13" t="s">
        <v>67</v>
      </c>
      <c r="L23" s="11" t="str">
        <f>"000024"</f>
        <v>000024</v>
      </c>
      <c r="M23" s="10">
        <v>42656</v>
      </c>
      <c r="N23" s="11" t="str">
        <f>"000041"</f>
        <v>000041</v>
      </c>
      <c r="O23" s="10">
        <v>43334</v>
      </c>
      <c r="P23" s="11" t="str">
        <f>"000040"</f>
        <v>000040</v>
      </c>
      <c r="Q23" s="10">
        <v>43334</v>
      </c>
      <c r="R23" s="11">
        <v>16</v>
      </c>
      <c r="S23" s="11" t="str">
        <f>""</f>
        <v/>
      </c>
      <c r="T23" s="10"/>
      <c r="U23" s="14">
        <v>7.5508800000000003</v>
      </c>
      <c r="V23" s="14">
        <v>0.92601</v>
      </c>
      <c r="W23" s="14">
        <v>6.6248699999999996</v>
      </c>
      <c r="X23" s="11">
        <v>146</v>
      </c>
      <c r="Y23" s="10">
        <v>43308</v>
      </c>
      <c r="Z23" s="11">
        <v>9980796171</v>
      </c>
      <c r="AA23" s="12" t="s">
        <v>117</v>
      </c>
      <c r="AB23" s="11" t="s">
        <v>118</v>
      </c>
      <c r="AC23" s="12" t="s">
        <v>119</v>
      </c>
      <c r="AD23" s="11" t="s">
        <v>71</v>
      </c>
      <c r="AE23" s="12" t="s">
        <v>72</v>
      </c>
      <c r="AF23" s="14">
        <v>7.5508800000000001E-2</v>
      </c>
      <c r="AG23" s="11" t="s">
        <v>85</v>
      </c>
    </row>
    <row r="24" spans="1:33" x14ac:dyDescent="0.2">
      <c r="A24" s="8">
        <v>4272</v>
      </c>
      <c r="B24" s="9" t="s">
        <v>120</v>
      </c>
      <c r="C24" s="10">
        <v>43315</v>
      </c>
      <c r="D24" s="11">
        <v>52</v>
      </c>
      <c r="E24" s="12" t="s">
        <v>34</v>
      </c>
      <c r="F24" s="12" t="s">
        <v>34</v>
      </c>
      <c r="G24" s="12" t="s">
        <v>34</v>
      </c>
      <c r="H24" s="12" t="s">
        <v>35</v>
      </c>
      <c r="I24" s="11" t="s">
        <v>121</v>
      </c>
      <c r="J24" s="12" t="s">
        <v>122</v>
      </c>
      <c r="K24" s="13" t="s">
        <v>60</v>
      </c>
      <c r="L24" s="11" t="str">
        <f>"0008"</f>
        <v>0008</v>
      </c>
      <c r="M24" s="10">
        <v>1</v>
      </c>
      <c r="N24" s="11" t="str">
        <f>"000034"</f>
        <v>000034</v>
      </c>
      <c r="O24" s="10">
        <v>42755</v>
      </c>
      <c r="P24" s="11" t="str">
        <f>"000227"</f>
        <v>000227</v>
      </c>
      <c r="Q24" s="10">
        <v>42765</v>
      </c>
      <c r="R24" s="11">
        <v>16</v>
      </c>
      <c r="S24" s="11" t="str">
        <f>"004266"</f>
        <v>004266</v>
      </c>
      <c r="T24" s="10">
        <v>43306</v>
      </c>
      <c r="U24" s="14">
        <v>30.73283</v>
      </c>
      <c r="V24" s="14">
        <v>4.6906999999999996</v>
      </c>
      <c r="W24" s="14">
        <v>26.04213</v>
      </c>
      <c r="X24" s="11">
        <v>152</v>
      </c>
      <c r="Y24" s="10">
        <v>43315</v>
      </c>
      <c r="Z24" s="11">
        <v>9848722590</v>
      </c>
      <c r="AA24" s="12" t="s">
        <v>123</v>
      </c>
      <c r="AB24" s="11" t="s">
        <v>62</v>
      </c>
      <c r="AC24" s="12" t="s">
        <v>63</v>
      </c>
      <c r="AD24" s="11" t="s">
        <v>42</v>
      </c>
      <c r="AE24" s="12" t="s">
        <v>43</v>
      </c>
      <c r="AF24" s="14">
        <v>0.3073283</v>
      </c>
      <c r="AG24" s="11" t="s">
        <v>44</v>
      </c>
    </row>
    <row r="25" spans="1:33" x14ac:dyDescent="0.2">
      <c r="A25" s="8">
        <v>4273</v>
      </c>
      <c r="B25" s="9" t="s">
        <v>120</v>
      </c>
      <c r="C25" s="10">
        <v>43315</v>
      </c>
      <c r="D25" s="11">
        <v>52</v>
      </c>
      <c r="E25" s="12" t="s">
        <v>34</v>
      </c>
      <c r="F25" s="12" t="s">
        <v>34</v>
      </c>
      <c r="G25" s="12" t="s">
        <v>34</v>
      </c>
      <c r="H25" s="12" t="s">
        <v>35</v>
      </c>
      <c r="I25" s="11" t="s">
        <v>124</v>
      </c>
      <c r="J25" s="12" t="s">
        <v>125</v>
      </c>
      <c r="K25" s="13" t="s">
        <v>38</v>
      </c>
      <c r="L25" s="11" t="str">
        <f>"000056"</f>
        <v>000056</v>
      </c>
      <c r="M25" s="10">
        <v>43191</v>
      </c>
      <c r="N25" s="11" t="str">
        <f>"000035"</f>
        <v>000035</v>
      </c>
      <c r="O25" s="10">
        <v>42756</v>
      </c>
      <c r="P25" s="11" t="str">
        <f>"000230"</f>
        <v>000230</v>
      </c>
      <c r="Q25" s="10">
        <v>42766</v>
      </c>
      <c r="R25" s="11">
        <v>16</v>
      </c>
      <c r="S25" s="11" t="str">
        <f>"004267"</f>
        <v>004267</v>
      </c>
      <c r="T25" s="10">
        <v>43306</v>
      </c>
      <c r="U25" s="14">
        <v>17.75319</v>
      </c>
      <c r="V25" s="14">
        <v>2.3827500000000001</v>
      </c>
      <c r="W25" s="14">
        <v>15.37044</v>
      </c>
      <c r="X25" s="11">
        <v>152</v>
      </c>
      <c r="Y25" s="10">
        <v>43315</v>
      </c>
      <c r="Z25" s="11">
        <v>9845545101</v>
      </c>
      <c r="AA25" s="12" t="s">
        <v>92</v>
      </c>
      <c r="AB25" s="11" t="s">
        <v>69</v>
      </c>
      <c r="AC25" s="12" t="s">
        <v>70</v>
      </c>
      <c r="AD25" s="11" t="s">
        <v>42</v>
      </c>
      <c r="AE25" s="12" t="s">
        <v>43</v>
      </c>
      <c r="AF25" s="14">
        <v>0.17753189999999999</v>
      </c>
      <c r="AG25" s="11" t="s">
        <v>85</v>
      </c>
    </row>
    <row r="26" spans="1:33" x14ac:dyDescent="0.2">
      <c r="A26" s="8">
        <v>4274</v>
      </c>
      <c r="B26" s="9" t="s">
        <v>120</v>
      </c>
      <c r="C26" s="10">
        <v>43315</v>
      </c>
      <c r="D26" s="11">
        <v>52</v>
      </c>
      <c r="E26" s="12" t="s">
        <v>34</v>
      </c>
      <c r="F26" s="12" t="s">
        <v>34</v>
      </c>
      <c r="G26" s="12" t="s">
        <v>34</v>
      </c>
      <c r="H26" s="12" t="s">
        <v>35</v>
      </c>
      <c r="I26" s="11" t="s">
        <v>126</v>
      </c>
      <c r="J26" s="12" t="s">
        <v>127</v>
      </c>
      <c r="K26" s="13" t="s">
        <v>38</v>
      </c>
      <c r="L26" s="11" t="str">
        <f>"000022"</f>
        <v>000022</v>
      </c>
      <c r="M26" s="10">
        <v>42100</v>
      </c>
      <c r="N26" s="11" t="str">
        <f>"000037"</f>
        <v>000037</v>
      </c>
      <c r="O26" s="10">
        <v>42762</v>
      </c>
      <c r="P26" s="11" t="str">
        <f>"000242"</f>
        <v>000242</v>
      </c>
      <c r="Q26" s="10">
        <v>42767</v>
      </c>
      <c r="R26" s="11">
        <v>15</v>
      </c>
      <c r="S26" s="11" t="str">
        <f>"004522"</f>
        <v>004522</v>
      </c>
      <c r="T26" s="10">
        <v>43309</v>
      </c>
      <c r="U26" s="14">
        <v>38.949350000000003</v>
      </c>
      <c r="V26" s="14">
        <v>5.5549099999999996</v>
      </c>
      <c r="W26" s="14">
        <v>33.394440000000003</v>
      </c>
      <c r="X26" s="11">
        <v>152</v>
      </c>
      <c r="Y26" s="10">
        <v>43315</v>
      </c>
      <c r="Z26" s="11">
        <v>9611508999</v>
      </c>
      <c r="AA26" s="12" t="s">
        <v>92</v>
      </c>
      <c r="AB26" s="11" t="s">
        <v>93</v>
      </c>
      <c r="AC26" s="12" t="s">
        <v>94</v>
      </c>
      <c r="AD26" s="11" t="s">
        <v>42</v>
      </c>
      <c r="AE26" s="12" t="s">
        <v>43</v>
      </c>
      <c r="AF26" s="14">
        <v>0.38949350000000005</v>
      </c>
      <c r="AG26" s="11" t="s">
        <v>44</v>
      </c>
    </row>
    <row r="27" spans="1:33" x14ac:dyDescent="0.2">
      <c r="A27" s="8">
        <v>4777</v>
      </c>
      <c r="B27" s="9" t="s">
        <v>120</v>
      </c>
      <c r="C27" s="10">
        <v>43326</v>
      </c>
      <c r="D27" s="11">
        <v>52</v>
      </c>
      <c r="E27" s="12" t="s">
        <v>34</v>
      </c>
      <c r="F27" s="12" t="s">
        <v>34</v>
      </c>
      <c r="G27" s="12" t="s">
        <v>34</v>
      </c>
      <c r="H27" s="12" t="s">
        <v>35</v>
      </c>
      <c r="I27" s="11" t="s">
        <v>128</v>
      </c>
      <c r="J27" s="12" t="s">
        <v>129</v>
      </c>
      <c r="K27" s="13" t="s">
        <v>67</v>
      </c>
      <c r="L27" s="11" t="str">
        <f>"000014"</f>
        <v>000014</v>
      </c>
      <c r="M27" s="10">
        <v>42914</v>
      </c>
      <c r="N27" s="11" t="str">
        <f>"000036"</f>
        <v>000036</v>
      </c>
      <c r="O27" s="10">
        <v>42916</v>
      </c>
      <c r="P27" s="11" t="str">
        <f>"000043"</f>
        <v>000043</v>
      </c>
      <c r="Q27" s="10">
        <v>42916</v>
      </c>
      <c r="R27" s="11">
        <v>17</v>
      </c>
      <c r="S27" s="11" t="str">
        <f>"005153"</f>
        <v>005153</v>
      </c>
      <c r="T27" s="10">
        <v>43325</v>
      </c>
      <c r="U27" s="14">
        <v>23.452120000000001</v>
      </c>
      <c r="V27" s="14">
        <v>2.8447399999999998</v>
      </c>
      <c r="W27" s="14">
        <v>20.607379999999999</v>
      </c>
      <c r="X27" s="11">
        <v>172</v>
      </c>
      <c r="Y27" s="10">
        <v>43326</v>
      </c>
      <c r="Z27" s="11">
        <v>9980796171</v>
      </c>
      <c r="AA27" s="12" t="s">
        <v>130</v>
      </c>
      <c r="AB27" s="11" t="s">
        <v>131</v>
      </c>
      <c r="AC27" s="12" t="s">
        <v>132</v>
      </c>
      <c r="AD27" s="11" t="s">
        <v>71</v>
      </c>
      <c r="AE27" s="12" t="s">
        <v>72</v>
      </c>
      <c r="AF27" s="14">
        <v>0.23452120000000001</v>
      </c>
      <c r="AG27" s="11" t="s">
        <v>44</v>
      </c>
    </row>
    <row r="28" spans="1:33" x14ac:dyDescent="0.2">
      <c r="A28" s="8">
        <v>6018</v>
      </c>
      <c r="B28" s="9" t="s">
        <v>133</v>
      </c>
      <c r="C28" s="10">
        <v>43385</v>
      </c>
      <c r="D28" s="11">
        <v>52</v>
      </c>
      <c r="E28" s="12" t="s">
        <v>34</v>
      </c>
      <c r="F28" s="12" t="s">
        <v>34</v>
      </c>
      <c r="G28" s="12" t="s">
        <v>34</v>
      </c>
      <c r="H28" s="12" t="s">
        <v>35</v>
      </c>
      <c r="I28" s="11" t="s">
        <v>53</v>
      </c>
      <c r="J28" s="12" t="s">
        <v>54</v>
      </c>
      <c r="K28" s="13" t="s">
        <v>38</v>
      </c>
      <c r="L28" s="11" t="str">
        <f>"000135"</f>
        <v>000135</v>
      </c>
      <c r="M28" s="10">
        <v>43004</v>
      </c>
      <c r="N28" s="11" t="str">
        <f>"000024"</f>
        <v>000024</v>
      </c>
      <c r="O28" s="10">
        <v>43290</v>
      </c>
      <c r="P28" s="11" t="str">
        <f>"000112"</f>
        <v>000112</v>
      </c>
      <c r="Q28" s="10">
        <v>43290</v>
      </c>
      <c r="R28" s="11">
        <v>17</v>
      </c>
      <c r="S28" s="11" t="str">
        <f>"006282"</f>
        <v>006282</v>
      </c>
      <c r="T28" s="10">
        <v>43380</v>
      </c>
      <c r="U28" s="14">
        <v>14.77364</v>
      </c>
      <c r="V28" s="14">
        <v>1.0047299999999999</v>
      </c>
      <c r="W28" s="14">
        <v>13.76891</v>
      </c>
      <c r="X28" s="11">
        <v>228</v>
      </c>
      <c r="Y28" s="10">
        <v>43385</v>
      </c>
      <c r="Z28" s="11">
        <v>9880133688</v>
      </c>
      <c r="AA28" s="12" t="s">
        <v>39</v>
      </c>
      <c r="AB28" s="11" t="s">
        <v>40</v>
      </c>
      <c r="AC28" s="12" t="s">
        <v>41</v>
      </c>
      <c r="AD28" s="11" t="s">
        <v>42</v>
      </c>
      <c r="AE28" s="12" t="s">
        <v>43</v>
      </c>
      <c r="AF28" s="14">
        <f t="shared" ref="AF28:AF67" si="0">U28/100</f>
        <v>0.14773639999999999</v>
      </c>
      <c r="AG28" s="11" t="s">
        <v>85</v>
      </c>
    </row>
    <row r="29" spans="1:33" x14ac:dyDescent="0.2">
      <c r="A29" s="8">
        <v>6019</v>
      </c>
      <c r="B29" s="9" t="s">
        <v>133</v>
      </c>
      <c r="C29" s="10">
        <v>43385</v>
      </c>
      <c r="D29" s="11">
        <v>52</v>
      </c>
      <c r="E29" s="12" t="s">
        <v>34</v>
      </c>
      <c r="F29" s="12" t="s">
        <v>34</v>
      </c>
      <c r="G29" s="12" t="s">
        <v>34</v>
      </c>
      <c r="H29" s="12" t="s">
        <v>35</v>
      </c>
      <c r="I29" s="11" t="s">
        <v>55</v>
      </c>
      <c r="J29" s="12" t="s">
        <v>56</v>
      </c>
      <c r="K29" s="13" t="s">
        <v>38</v>
      </c>
      <c r="L29" s="11" t="str">
        <f>"000195"</f>
        <v>000195</v>
      </c>
      <c r="M29" s="10">
        <v>43178</v>
      </c>
      <c r="N29" s="11" t="str">
        <f>"000022"</f>
        <v>000022</v>
      </c>
      <c r="O29" s="10">
        <v>43290</v>
      </c>
      <c r="P29" s="11" t="str">
        <f>"000110"</f>
        <v>000110</v>
      </c>
      <c r="Q29" s="10">
        <v>43290</v>
      </c>
      <c r="R29" s="11">
        <v>17</v>
      </c>
      <c r="S29" s="11" t="str">
        <f>"006283"</f>
        <v>006283</v>
      </c>
      <c r="T29" s="10">
        <v>43380</v>
      </c>
      <c r="U29" s="14">
        <v>18.615829999999999</v>
      </c>
      <c r="V29" s="14">
        <v>1.3073999999999999</v>
      </c>
      <c r="W29" s="14">
        <v>17.308430000000001</v>
      </c>
      <c r="X29" s="11">
        <v>228</v>
      </c>
      <c r="Y29" s="10">
        <v>43385</v>
      </c>
      <c r="Z29" s="11">
        <v>9448205866</v>
      </c>
      <c r="AA29" s="12" t="s">
        <v>57</v>
      </c>
      <c r="AB29" s="11" t="s">
        <v>40</v>
      </c>
      <c r="AC29" s="12" t="s">
        <v>41</v>
      </c>
      <c r="AD29" s="11" t="s">
        <v>42</v>
      </c>
      <c r="AE29" s="12" t="s">
        <v>43</v>
      </c>
      <c r="AF29" s="14">
        <f t="shared" si="0"/>
        <v>0.1861583</v>
      </c>
      <c r="AG29" s="11" t="s">
        <v>85</v>
      </c>
    </row>
    <row r="30" spans="1:33" x14ac:dyDescent="0.2">
      <c r="A30" s="8">
        <v>6020</v>
      </c>
      <c r="B30" s="9" t="s">
        <v>133</v>
      </c>
      <c r="C30" s="10">
        <v>43385</v>
      </c>
      <c r="D30" s="11">
        <v>52</v>
      </c>
      <c r="E30" s="12" t="s">
        <v>34</v>
      </c>
      <c r="F30" s="12" t="s">
        <v>34</v>
      </c>
      <c r="G30" s="12" t="s">
        <v>34</v>
      </c>
      <c r="H30" s="12" t="s">
        <v>35</v>
      </c>
      <c r="I30" s="11" t="s">
        <v>51</v>
      </c>
      <c r="J30" s="12" t="s">
        <v>52</v>
      </c>
      <c r="K30" s="13" t="s">
        <v>38</v>
      </c>
      <c r="L30" s="11" t="str">
        <f>"000138"</f>
        <v>000138</v>
      </c>
      <c r="M30" s="10">
        <v>43004</v>
      </c>
      <c r="N30" s="11" t="str">
        <f>"000023"</f>
        <v>000023</v>
      </c>
      <c r="O30" s="10">
        <v>43290</v>
      </c>
      <c r="P30" s="11" t="str">
        <f>"000111"</f>
        <v>000111</v>
      </c>
      <c r="Q30" s="10">
        <v>43290</v>
      </c>
      <c r="R30" s="11">
        <v>17</v>
      </c>
      <c r="S30" s="11" t="str">
        <f>"006284"</f>
        <v>006284</v>
      </c>
      <c r="T30" s="10">
        <v>43380</v>
      </c>
      <c r="U30" s="14">
        <v>10.256460000000001</v>
      </c>
      <c r="V30" s="14">
        <v>0.54896999999999996</v>
      </c>
      <c r="W30" s="14">
        <v>9.70749</v>
      </c>
      <c r="X30" s="11">
        <v>228</v>
      </c>
      <c r="Y30" s="10">
        <v>43385</v>
      </c>
      <c r="Z30" s="11">
        <v>9880133688</v>
      </c>
      <c r="AA30" s="12" t="s">
        <v>39</v>
      </c>
      <c r="AB30" s="11" t="s">
        <v>40</v>
      </c>
      <c r="AC30" s="12" t="s">
        <v>41</v>
      </c>
      <c r="AD30" s="11" t="s">
        <v>42</v>
      </c>
      <c r="AE30" s="12" t="s">
        <v>43</v>
      </c>
      <c r="AF30" s="14">
        <f t="shared" si="0"/>
        <v>0.10256460000000001</v>
      </c>
      <c r="AG30" s="11" t="s">
        <v>85</v>
      </c>
    </row>
    <row r="31" spans="1:33" x14ac:dyDescent="0.2">
      <c r="A31" s="8">
        <v>6021</v>
      </c>
      <c r="B31" s="9" t="s">
        <v>133</v>
      </c>
      <c r="C31" s="10">
        <v>43385</v>
      </c>
      <c r="D31" s="11">
        <v>52</v>
      </c>
      <c r="E31" s="12" t="s">
        <v>34</v>
      </c>
      <c r="F31" s="12" t="s">
        <v>34</v>
      </c>
      <c r="G31" s="12" t="s">
        <v>34</v>
      </c>
      <c r="H31" s="12" t="s">
        <v>35</v>
      </c>
      <c r="I31" s="11" t="s">
        <v>53</v>
      </c>
      <c r="J31" s="12" t="s">
        <v>54</v>
      </c>
      <c r="K31" s="13" t="s">
        <v>38</v>
      </c>
      <c r="L31" s="11" t="str">
        <f>"000135"</f>
        <v>000135</v>
      </c>
      <c r="M31" s="10">
        <v>43004</v>
      </c>
      <c r="N31" s="11" t="str">
        <f>"000024"</f>
        <v>000024</v>
      </c>
      <c r="O31" s="10">
        <v>43290</v>
      </c>
      <c r="P31" s="11" t="str">
        <f>"000112"</f>
        <v>000112</v>
      </c>
      <c r="Q31" s="10">
        <v>43290</v>
      </c>
      <c r="R31" s="11">
        <v>17</v>
      </c>
      <c r="S31" s="11" t="str">
        <f>"006282"</f>
        <v>006282</v>
      </c>
      <c r="T31" s="10">
        <v>43380</v>
      </c>
      <c r="U31" s="14">
        <v>14.77364</v>
      </c>
      <c r="V31" s="14">
        <v>1.0047299999999999</v>
      </c>
      <c r="W31" s="14">
        <v>13.76891</v>
      </c>
      <c r="X31" s="11">
        <v>228</v>
      </c>
      <c r="Y31" s="10">
        <v>43385</v>
      </c>
      <c r="Z31" s="11">
        <v>9880133688</v>
      </c>
      <c r="AA31" s="12" t="s">
        <v>39</v>
      </c>
      <c r="AB31" s="11" t="s">
        <v>40</v>
      </c>
      <c r="AC31" s="12" t="s">
        <v>41</v>
      </c>
      <c r="AD31" s="11" t="s">
        <v>42</v>
      </c>
      <c r="AE31" s="12" t="s">
        <v>43</v>
      </c>
      <c r="AF31" s="14">
        <f t="shared" si="0"/>
        <v>0.14773639999999999</v>
      </c>
      <c r="AG31" s="11" t="s">
        <v>85</v>
      </c>
    </row>
    <row r="32" spans="1:33" x14ac:dyDescent="0.2">
      <c r="A32" s="8">
        <v>6022</v>
      </c>
      <c r="B32" s="9" t="s">
        <v>133</v>
      </c>
      <c r="C32" s="10">
        <v>43385</v>
      </c>
      <c r="D32" s="11">
        <v>52</v>
      </c>
      <c r="E32" s="12" t="s">
        <v>34</v>
      </c>
      <c r="F32" s="12" t="s">
        <v>34</v>
      </c>
      <c r="G32" s="12" t="s">
        <v>34</v>
      </c>
      <c r="H32" s="12" t="s">
        <v>35</v>
      </c>
      <c r="I32" s="11" t="s">
        <v>55</v>
      </c>
      <c r="J32" s="12" t="s">
        <v>56</v>
      </c>
      <c r="K32" s="13" t="s">
        <v>38</v>
      </c>
      <c r="L32" s="11" t="str">
        <f>"000195"</f>
        <v>000195</v>
      </c>
      <c r="M32" s="10">
        <v>43178</v>
      </c>
      <c r="N32" s="11" t="str">
        <f>"000022"</f>
        <v>000022</v>
      </c>
      <c r="O32" s="10">
        <v>43290</v>
      </c>
      <c r="P32" s="11" t="str">
        <f>"000110"</f>
        <v>000110</v>
      </c>
      <c r="Q32" s="10">
        <v>43290</v>
      </c>
      <c r="R32" s="11">
        <v>17</v>
      </c>
      <c r="S32" s="11" t="str">
        <f>"006283"</f>
        <v>006283</v>
      </c>
      <c r="T32" s="10">
        <v>43380</v>
      </c>
      <c r="U32" s="14">
        <v>18.615829999999999</v>
      </c>
      <c r="V32" s="14">
        <v>1.3073999999999999</v>
      </c>
      <c r="W32" s="14">
        <v>17.308430000000001</v>
      </c>
      <c r="X32" s="11">
        <v>228</v>
      </c>
      <c r="Y32" s="10">
        <v>43385</v>
      </c>
      <c r="Z32" s="11">
        <v>9448205866</v>
      </c>
      <c r="AA32" s="12" t="s">
        <v>57</v>
      </c>
      <c r="AB32" s="11" t="s">
        <v>40</v>
      </c>
      <c r="AC32" s="12" t="s">
        <v>41</v>
      </c>
      <c r="AD32" s="11" t="s">
        <v>42</v>
      </c>
      <c r="AE32" s="12" t="s">
        <v>43</v>
      </c>
      <c r="AF32" s="14">
        <f t="shared" si="0"/>
        <v>0.1861583</v>
      </c>
      <c r="AG32" s="11" t="s">
        <v>85</v>
      </c>
    </row>
    <row r="33" spans="1:33" x14ac:dyDescent="0.2">
      <c r="A33" s="8">
        <v>6023</v>
      </c>
      <c r="B33" s="9" t="s">
        <v>133</v>
      </c>
      <c r="C33" s="10">
        <v>43385</v>
      </c>
      <c r="D33" s="11">
        <v>52</v>
      </c>
      <c r="E33" s="12" t="s">
        <v>34</v>
      </c>
      <c r="F33" s="12" t="s">
        <v>34</v>
      </c>
      <c r="G33" s="12" t="s">
        <v>34</v>
      </c>
      <c r="H33" s="12" t="s">
        <v>35</v>
      </c>
      <c r="I33" s="11" t="s">
        <v>51</v>
      </c>
      <c r="J33" s="12" t="s">
        <v>52</v>
      </c>
      <c r="K33" s="13" t="s">
        <v>38</v>
      </c>
      <c r="L33" s="11" t="str">
        <f>"000138"</f>
        <v>000138</v>
      </c>
      <c r="M33" s="10">
        <v>43004</v>
      </c>
      <c r="N33" s="11" t="str">
        <f>"000023"</f>
        <v>000023</v>
      </c>
      <c r="O33" s="10">
        <v>43290</v>
      </c>
      <c r="P33" s="11" t="str">
        <f>"000111"</f>
        <v>000111</v>
      </c>
      <c r="Q33" s="10">
        <v>43290</v>
      </c>
      <c r="R33" s="11">
        <v>17</v>
      </c>
      <c r="S33" s="11" t="str">
        <f>"006284"</f>
        <v>006284</v>
      </c>
      <c r="T33" s="10">
        <v>43380</v>
      </c>
      <c r="U33" s="14">
        <v>10.256460000000001</v>
      </c>
      <c r="V33" s="14">
        <v>0.54896999999999996</v>
      </c>
      <c r="W33" s="14">
        <v>9.70749</v>
      </c>
      <c r="X33" s="11">
        <v>228</v>
      </c>
      <c r="Y33" s="10">
        <v>43385</v>
      </c>
      <c r="Z33" s="11">
        <v>9880133688</v>
      </c>
      <c r="AA33" s="12" t="s">
        <v>39</v>
      </c>
      <c r="AB33" s="11" t="s">
        <v>40</v>
      </c>
      <c r="AC33" s="12" t="s">
        <v>41</v>
      </c>
      <c r="AD33" s="11" t="s">
        <v>42</v>
      </c>
      <c r="AE33" s="12" t="s">
        <v>43</v>
      </c>
      <c r="AF33" s="14">
        <f t="shared" si="0"/>
        <v>0.10256460000000001</v>
      </c>
      <c r="AG33" s="11" t="s">
        <v>85</v>
      </c>
    </row>
    <row r="34" spans="1:33" x14ac:dyDescent="0.2">
      <c r="A34" s="8">
        <v>6024</v>
      </c>
      <c r="B34" s="9" t="s">
        <v>133</v>
      </c>
      <c r="C34" s="10">
        <v>43385</v>
      </c>
      <c r="D34" s="11">
        <v>52</v>
      </c>
      <c r="E34" s="12" t="s">
        <v>34</v>
      </c>
      <c r="F34" s="12" t="s">
        <v>34</v>
      </c>
      <c r="G34" s="12" t="s">
        <v>34</v>
      </c>
      <c r="H34" s="12" t="s">
        <v>35</v>
      </c>
      <c r="I34" s="11" t="s">
        <v>134</v>
      </c>
      <c r="J34" s="12" t="s">
        <v>135</v>
      </c>
      <c r="K34" s="13" t="s">
        <v>67</v>
      </c>
      <c r="L34" s="11" t="str">
        <f>"000179"</f>
        <v>000179</v>
      </c>
      <c r="M34" s="10">
        <v>42816</v>
      </c>
      <c r="N34" s="11" t="str">
        <f>"000004"</f>
        <v>000004</v>
      </c>
      <c r="O34" s="10">
        <v>42852</v>
      </c>
      <c r="P34" s="11" t="str">
        <f>"000023"</f>
        <v>000023</v>
      </c>
      <c r="Q34" s="10">
        <v>42853</v>
      </c>
      <c r="R34" s="11">
        <v>16</v>
      </c>
      <c r="S34" s="11" t="str">
        <f>"006100"</f>
        <v>006100</v>
      </c>
      <c r="T34" s="10">
        <v>43376</v>
      </c>
      <c r="U34" s="14">
        <v>10.39218</v>
      </c>
      <c r="V34" s="14">
        <v>1.4315500000000001</v>
      </c>
      <c r="W34" s="14">
        <v>8.9606300000000001</v>
      </c>
      <c r="X34" s="11">
        <v>230</v>
      </c>
      <c r="Y34" s="10">
        <v>43385</v>
      </c>
      <c r="Z34" s="11">
        <v>9845440830</v>
      </c>
      <c r="AA34" s="12" t="s">
        <v>136</v>
      </c>
      <c r="AB34" s="11" t="s">
        <v>62</v>
      </c>
      <c r="AC34" s="12" t="s">
        <v>63</v>
      </c>
      <c r="AD34" s="11" t="s">
        <v>42</v>
      </c>
      <c r="AE34" s="12" t="s">
        <v>43</v>
      </c>
      <c r="AF34" s="14">
        <f t="shared" si="0"/>
        <v>0.10392179999999999</v>
      </c>
      <c r="AG34" s="11" t="s">
        <v>44</v>
      </c>
    </row>
    <row r="35" spans="1:33" x14ac:dyDescent="0.2">
      <c r="A35" s="8">
        <v>6025</v>
      </c>
      <c r="B35" s="9" t="s">
        <v>133</v>
      </c>
      <c r="C35" s="10">
        <v>43385</v>
      </c>
      <c r="D35" s="11">
        <v>52</v>
      </c>
      <c r="E35" s="12" t="s">
        <v>34</v>
      </c>
      <c r="F35" s="12" t="s">
        <v>34</v>
      </c>
      <c r="G35" s="12" t="s">
        <v>34</v>
      </c>
      <c r="H35" s="12" t="s">
        <v>35</v>
      </c>
      <c r="I35" s="11" t="s">
        <v>137</v>
      </c>
      <c r="J35" s="12" t="s">
        <v>138</v>
      </c>
      <c r="K35" s="13" t="s">
        <v>139</v>
      </c>
      <c r="L35" s="11" t="str">
        <f>"0207"</f>
        <v>0207</v>
      </c>
      <c r="M35" s="10" t="s">
        <v>140</v>
      </c>
      <c r="N35" s="11" t="str">
        <f>"000094"</f>
        <v>000094</v>
      </c>
      <c r="O35" s="10">
        <v>42338</v>
      </c>
      <c r="P35" s="11" t="str">
        <f>"000443"</f>
        <v>000443</v>
      </c>
      <c r="Q35" s="10">
        <v>42338</v>
      </c>
      <c r="R35" s="11">
        <v>15</v>
      </c>
      <c r="S35" s="11" t="str">
        <f>"006090"</f>
        <v>006090</v>
      </c>
      <c r="T35" s="10">
        <v>43374</v>
      </c>
      <c r="U35" s="14">
        <v>42.399470000000001</v>
      </c>
      <c r="V35" s="14">
        <v>5.8184300000000002</v>
      </c>
      <c r="W35" s="14">
        <v>36.581040000000002</v>
      </c>
      <c r="X35" s="11">
        <v>231</v>
      </c>
      <c r="Y35" s="10">
        <v>43385</v>
      </c>
      <c r="Z35" s="11">
        <v>0</v>
      </c>
      <c r="AA35" s="12" t="s">
        <v>92</v>
      </c>
      <c r="AB35" s="11" t="s">
        <v>93</v>
      </c>
      <c r="AC35" s="12" t="s">
        <v>94</v>
      </c>
      <c r="AD35" s="11" t="s">
        <v>42</v>
      </c>
      <c r="AE35" s="12" t="s">
        <v>43</v>
      </c>
      <c r="AF35" s="14">
        <f t="shared" si="0"/>
        <v>0.4239947</v>
      </c>
      <c r="AG35" s="11" t="s">
        <v>44</v>
      </c>
    </row>
    <row r="36" spans="1:33" x14ac:dyDescent="0.2">
      <c r="A36" s="8">
        <v>6026</v>
      </c>
      <c r="B36" s="9" t="s">
        <v>133</v>
      </c>
      <c r="C36" s="10">
        <v>43385</v>
      </c>
      <c r="D36" s="11">
        <v>52</v>
      </c>
      <c r="E36" s="12" t="s">
        <v>34</v>
      </c>
      <c r="F36" s="12" t="s">
        <v>34</v>
      </c>
      <c r="G36" s="12" t="s">
        <v>34</v>
      </c>
      <c r="H36" s="12" t="s">
        <v>35</v>
      </c>
      <c r="I36" s="11" t="s">
        <v>86</v>
      </c>
      <c r="J36" s="12" t="s">
        <v>87</v>
      </c>
      <c r="K36" s="13" t="s">
        <v>60</v>
      </c>
      <c r="L36" s="11" t="str">
        <f>"046"</f>
        <v>046</v>
      </c>
      <c r="M36" s="10">
        <v>11</v>
      </c>
      <c r="N36" s="11" t="str">
        <f>"079"</f>
        <v>079</v>
      </c>
      <c r="O36" s="10">
        <v>11</v>
      </c>
      <c r="P36" s="11" t="str">
        <f>"026"</f>
        <v>026</v>
      </c>
      <c r="Q36" s="10">
        <v>11</v>
      </c>
      <c r="R36" s="11">
        <v>16</v>
      </c>
      <c r="S36" s="11" t="str">
        <f>"005348"</f>
        <v>005348</v>
      </c>
      <c r="T36" s="10">
        <v>42982</v>
      </c>
      <c r="U36" s="14">
        <v>0.20175999999999999</v>
      </c>
      <c r="V36" s="14">
        <v>2.018E-2</v>
      </c>
      <c r="W36" s="14">
        <v>0.18157999999999999</v>
      </c>
      <c r="X36" s="11">
        <v>234</v>
      </c>
      <c r="Y36" s="10">
        <v>43385</v>
      </c>
      <c r="Z36" s="11">
        <v>9844004676</v>
      </c>
      <c r="AA36" s="12" t="s">
        <v>141</v>
      </c>
      <c r="AB36" s="11" t="s">
        <v>88</v>
      </c>
      <c r="AC36" s="12" t="s">
        <v>89</v>
      </c>
      <c r="AD36" s="11" t="s">
        <v>42</v>
      </c>
      <c r="AE36" s="12" t="s">
        <v>43</v>
      </c>
      <c r="AF36" s="14">
        <f t="shared" si="0"/>
        <v>2.0176E-3</v>
      </c>
      <c r="AG36" s="11" t="s">
        <v>44</v>
      </c>
    </row>
    <row r="37" spans="1:33" x14ac:dyDescent="0.2">
      <c r="A37" s="8">
        <v>6529</v>
      </c>
      <c r="B37" s="9" t="s">
        <v>133</v>
      </c>
      <c r="C37" s="10">
        <v>43389</v>
      </c>
      <c r="D37" s="11">
        <v>52</v>
      </c>
      <c r="E37" s="12" t="s">
        <v>34</v>
      </c>
      <c r="F37" s="12" t="s">
        <v>34</v>
      </c>
      <c r="G37" s="12" t="s">
        <v>34</v>
      </c>
      <c r="H37" s="12" t="s">
        <v>35</v>
      </c>
      <c r="I37" s="11" t="s">
        <v>142</v>
      </c>
      <c r="J37" s="12" t="s">
        <v>143</v>
      </c>
      <c r="K37" s="13" t="s">
        <v>144</v>
      </c>
      <c r="L37" s="11" t="str">
        <f>"000069"</f>
        <v>000069</v>
      </c>
      <c r="M37" s="10">
        <v>43353</v>
      </c>
      <c r="N37" s="11" t="str">
        <f>"000080"</f>
        <v>000080</v>
      </c>
      <c r="O37" s="10">
        <v>43353</v>
      </c>
      <c r="P37" s="11" t="str">
        <f>"000204"</f>
        <v>000204</v>
      </c>
      <c r="Q37" s="10">
        <v>43353</v>
      </c>
      <c r="R37" s="11">
        <v>17</v>
      </c>
      <c r="S37" s="11" t="str">
        <f>"006738"</f>
        <v>006738</v>
      </c>
      <c r="T37" s="10">
        <v>43389</v>
      </c>
      <c r="U37" s="14">
        <v>79.869119999999995</v>
      </c>
      <c r="V37" s="14">
        <v>2.3047599999999999</v>
      </c>
      <c r="W37" s="14">
        <v>77.564359999999994</v>
      </c>
      <c r="X37" s="11">
        <v>242</v>
      </c>
      <c r="Y37" s="10">
        <v>43389</v>
      </c>
      <c r="Z37" s="11">
        <v>9342551777</v>
      </c>
      <c r="AA37" s="12" t="s">
        <v>145</v>
      </c>
      <c r="AB37" s="11" t="s">
        <v>106</v>
      </c>
      <c r="AC37" s="12" t="s">
        <v>107</v>
      </c>
      <c r="AD37" s="11" t="s">
        <v>42</v>
      </c>
      <c r="AE37" s="12" t="s">
        <v>43</v>
      </c>
      <c r="AF37" s="14">
        <f t="shared" si="0"/>
        <v>0.79869119999999993</v>
      </c>
      <c r="AG37" s="11" t="s">
        <v>146</v>
      </c>
    </row>
    <row r="38" spans="1:33" x14ac:dyDescent="0.2">
      <c r="A38" s="8">
        <v>6530</v>
      </c>
      <c r="B38" s="9" t="s">
        <v>133</v>
      </c>
      <c r="C38" s="10">
        <v>43389</v>
      </c>
      <c r="D38" s="11">
        <v>52</v>
      </c>
      <c r="E38" s="12" t="s">
        <v>34</v>
      </c>
      <c r="F38" s="12" t="s">
        <v>34</v>
      </c>
      <c r="G38" s="12" t="s">
        <v>34</v>
      </c>
      <c r="H38" s="12" t="s">
        <v>35</v>
      </c>
      <c r="I38" s="11" t="s">
        <v>142</v>
      </c>
      <c r="J38" s="12" t="s">
        <v>143</v>
      </c>
      <c r="K38" s="13" t="s">
        <v>144</v>
      </c>
      <c r="L38" s="11" t="str">
        <f>"000069"</f>
        <v>000069</v>
      </c>
      <c r="M38" s="10">
        <v>43353</v>
      </c>
      <c r="N38" s="11" t="str">
        <f>"000080"</f>
        <v>000080</v>
      </c>
      <c r="O38" s="10">
        <v>43353</v>
      </c>
      <c r="P38" s="11" t="str">
        <f>"000204"</f>
        <v>000204</v>
      </c>
      <c r="Q38" s="10">
        <v>43353</v>
      </c>
      <c r="R38" s="11">
        <v>17</v>
      </c>
      <c r="S38" s="11" t="str">
        <f>"006738"</f>
        <v>006738</v>
      </c>
      <c r="T38" s="10">
        <v>43389</v>
      </c>
      <c r="U38" s="14">
        <v>1.7459899999999999</v>
      </c>
      <c r="V38" s="14">
        <v>3.7190000000000001E-2</v>
      </c>
      <c r="W38" s="14">
        <v>1.7088000000000001</v>
      </c>
      <c r="X38" s="11">
        <v>242</v>
      </c>
      <c r="Y38" s="10">
        <v>43389</v>
      </c>
      <c r="Z38" s="11">
        <v>9342551777</v>
      </c>
      <c r="AA38" s="12" t="s">
        <v>145</v>
      </c>
      <c r="AB38" s="11" t="s">
        <v>106</v>
      </c>
      <c r="AC38" s="12" t="s">
        <v>107</v>
      </c>
      <c r="AD38" s="11" t="s">
        <v>42</v>
      </c>
      <c r="AE38" s="12" t="s">
        <v>43</v>
      </c>
      <c r="AF38" s="14">
        <f t="shared" si="0"/>
        <v>1.74599E-2</v>
      </c>
      <c r="AG38" s="11" t="s">
        <v>146</v>
      </c>
    </row>
    <row r="39" spans="1:33" x14ac:dyDescent="0.2">
      <c r="A39" s="8">
        <v>7060</v>
      </c>
      <c r="B39" s="9" t="s">
        <v>133</v>
      </c>
      <c r="C39" s="10">
        <v>43404</v>
      </c>
      <c r="D39" s="11">
        <v>52</v>
      </c>
      <c r="E39" s="12" t="s">
        <v>34</v>
      </c>
      <c r="F39" s="12" t="s">
        <v>34</v>
      </c>
      <c r="G39" s="12" t="s">
        <v>34</v>
      </c>
      <c r="H39" s="12" t="s">
        <v>35</v>
      </c>
      <c r="I39" s="11" t="s">
        <v>147</v>
      </c>
      <c r="J39" s="12" t="s">
        <v>148</v>
      </c>
      <c r="K39" s="13" t="s">
        <v>67</v>
      </c>
      <c r="L39" s="11" t="str">
        <f>"000081"</f>
        <v>000081</v>
      </c>
      <c r="M39" s="10">
        <v>43383</v>
      </c>
      <c r="N39" s="11" t="str">
        <f>"000097"</f>
        <v>000097</v>
      </c>
      <c r="O39" s="10">
        <v>43386</v>
      </c>
      <c r="P39" s="11" t="str">
        <f>"000231"</f>
        <v>000231</v>
      </c>
      <c r="Q39" s="10">
        <v>43386</v>
      </c>
      <c r="R39" s="11">
        <v>18</v>
      </c>
      <c r="S39" s="11" t="str">
        <f>"007108"</f>
        <v>007108</v>
      </c>
      <c r="T39" s="10">
        <v>43402</v>
      </c>
      <c r="U39" s="14">
        <v>53.29457</v>
      </c>
      <c r="V39" s="14">
        <v>3.40238</v>
      </c>
      <c r="W39" s="14">
        <v>49.892189999999999</v>
      </c>
      <c r="X39" s="11">
        <v>258</v>
      </c>
      <c r="Y39" s="10">
        <v>43404</v>
      </c>
      <c r="Z39" s="11">
        <v>9481420706</v>
      </c>
      <c r="AA39" s="12" t="s">
        <v>149</v>
      </c>
      <c r="AB39" s="11" t="s">
        <v>150</v>
      </c>
      <c r="AC39" s="12" t="s">
        <v>151</v>
      </c>
      <c r="AD39" s="11" t="s">
        <v>42</v>
      </c>
      <c r="AE39" s="12" t="s">
        <v>43</v>
      </c>
      <c r="AF39" s="14">
        <f t="shared" si="0"/>
        <v>0.53294569999999997</v>
      </c>
      <c r="AG39" s="11" t="s">
        <v>146</v>
      </c>
    </row>
    <row r="40" spans="1:33" x14ac:dyDescent="0.2">
      <c r="A40" s="8">
        <v>7061</v>
      </c>
      <c r="B40" s="9" t="s">
        <v>133</v>
      </c>
      <c r="C40" s="10">
        <v>43404</v>
      </c>
      <c r="D40" s="11">
        <v>52</v>
      </c>
      <c r="E40" s="12" t="s">
        <v>34</v>
      </c>
      <c r="F40" s="12" t="s">
        <v>34</v>
      </c>
      <c r="G40" s="12" t="s">
        <v>34</v>
      </c>
      <c r="H40" s="12" t="s">
        <v>35</v>
      </c>
      <c r="I40" s="11" t="s">
        <v>152</v>
      </c>
      <c r="J40" s="12" t="s">
        <v>153</v>
      </c>
      <c r="K40" s="13" t="s">
        <v>38</v>
      </c>
      <c r="L40" s="11" t="str">
        <f>"000082"</f>
        <v>000082</v>
      </c>
      <c r="M40" s="10">
        <v>43383</v>
      </c>
      <c r="N40" s="11" t="str">
        <f>"000098"</f>
        <v>000098</v>
      </c>
      <c r="O40" s="10">
        <v>43386</v>
      </c>
      <c r="P40" s="11" t="str">
        <f>"000232"</f>
        <v>000232</v>
      </c>
      <c r="Q40" s="10">
        <v>43386</v>
      </c>
      <c r="R40" s="11">
        <v>18</v>
      </c>
      <c r="S40" s="11" t="str">
        <f>"007109"</f>
        <v>007109</v>
      </c>
      <c r="T40" s="10">
        <v>43402</v>
      </c>
      <c r="U40" s="14">
        <v>52.608820000000001</v>
      </c>
      <c r="V40" s="14">
        <v>3.0675400000000002</v>
      </c>
      <c r="W40" s="14">
        <v>49.54128</v>
      </c>
      <c r="X40" s="11">
        <v>258</v>
      </c>
      <c r="Y40" s="10">
        <v>43404</v>
      </c>
      <c r="Z40" s="11">
        <v>9481420706</v>
      </c>
      <c r="AA40" s="12" t="s">
        <v>149</v>
      </c>
      <c r="AB40" s="11" t="s">
        <v>150</v>
      </c>
      <c r="AC40" s="12" t="s">
        <v>151</v>
      </c>
      <c r="AD40" s="11" t="s">
        <v>42</v>
      </c>
      <c r="AE40" s="12" t="s">
        <v>43</v>
      </c>
      <c r="AF40" s="14">
        <f t="shared" si="0"/>
        <v>0.52608820000000001</v>
      </c>
      <c r="AG40" s="11" t="s">
        <v>146</v>
      </c>
    </row>
    <row r="41" spans="1:33" x14ac:dyDescent="0.2">
      <c r="A41" s="8">
        <v>7319</v>
      </c>
      <c r="B41" s="9" t="s">
        <v>154</v>
      </c>
      <c r="C41" s="10">
        <v>43424</v>
      </c>
      <c r="D41" s="11">
        <v>52</v>
      </c>
      <c r="E41" s="12" t="s">
        <v>34</v>
      </c>
      <c r="F41" s="12" t="s">
        <v>34</v>
      </c>
      <c r="G41" s="12" t="s">
        <v>34</v>
      </c>
      <c r="H41" s="12" t="s">
        <v>35</v>
      </c>
      <c r="I41" s="11" t="s">
        <v>155</v>
      </c>
      <c r="J41" s="12" t="s">
        <v>156</v>
      </c>
      <c r="K41" s="13" t="s">
        <v>67</v>
      </c>
      <c r="L41" s="11" t="str">
        <f>"000084"</f>
        <v>000084</v>
      </c>
      <c r="M41" s="10">
        <v>43384</v>
      </c>
      <c r="N41" s="11" t="str">
        <f>"000105"</f>
        <v>000105</v>
      </c>
      <c r="O41" s="10">
        <v>43416</v>
      </c>
      <c r="P41" s="11" t="str">
        <f>"000266"</f>
        <v>000266</v>
      </c>
      <c r="Q41" s="10">
        <v>43416</v>
      </c>
      <c r="R41" s="11">
        <v>18</v>
      </c>
      <c r="S41" s="11" t="str">
        <f>"007403"</f>
        <v>007403</v>
      </c>
      <c r="T41" s="10">
        <v>43421</v>
      </c>
      <c r="U41" s="14">
        <v>33.21255</v>
      </c>
      <c r="V41" s="14">
        <v>1.77752</v>
      </c>
      <c r="W41" s="14">
        <v>31.435030000000001</v>
      </c>
      <c r="X41" s="11">
        <v>270</v>
      </c>
      <c r="Y41" s="10">
        <v>43424</v>
      </c>
      <c r="Z41" s="11">
        <v>0</v>
      </c>
      <c r="AA41" s="12" t="s">
        <v>157</v>
      </c>
      <c r="AB41" s="11" t="s">
        <v>150</v>
      </c>
      <c r="AC41" s="12" t="s">
        <v>151</v>
      </c>
      <c r="AD41" s="11" t="s">
        <v>42</v>
      </c>
      <c r="AE41" s="12" t="s">
        <v>43</v>
      </c>
      <c r="AF41" s="14">
        <f t="shared" si="0"/>
        <v>0.33212550000000002</v>
      </c>
      <c r="AG41" s="11" t="s">
        <v>146</v>
      </c>
    </row>
    <row r="42" spans="1:33" x14ac:dyDescent="0.2">
      <c r="A42" s="8">
        <v>7320</v>
      </c>
      <c r="B42" s="9" t="s">
        <v>154</v>
      </c>
      <c r="C42" s="10">
        <v>43424</v>
      </c>
      <c r="D42" s="11">
        <v>52</v>
      </c>
      <c r="E42" s="12" t="s">
        <v>34</v>
      </c>
      <c r="F42" s="12" t="s">
        <v>34</v>
      </c>
      <c r="G42" s="12" t="s">
        <v>34</v>
      </c>
      <c r="H42" s="12" t="s">
        <v>35</v>
      </c>
      <c r="I42" s="11" t="s">
        <v>158</v>
      </c>
      <c r="J42" s="12" t="s">
        <v>159</v>
      </c>
      <c r="K42" s="13" t="s">
        <v>67</v>
      </c>
      <c r="L42" s="11" t="str">
        <f>"000085"</f>
        <v>000085</v>
      </c>
      <c r="M42" s="10">
        <v>43384</v>
      </c>
      <c r="N42" s="11" t="str">
        <f>"000106"</f>
        <v>000106</v>
      </c>
      <c r="O42" s="10">
        <v>43416</v>
      </c>
      <c r="P42" s="11" t="str">
        <f>"000267"</f>
        <v>000267</v>
      </c>
      <c r="Q42" s="10">
        <v>43416</v>
      </c>
      <c r="R42" s="11">
        <v>18</v>
      </c>
      <c r="S42" s="11" t="str">
        <f>"007404"</f>
        <v>007404</v>
      </c>
      <c r="T42" s="10">
        <v>43421</v>
      </c>
      <c r="U42" s="14">
        <v>32.893889999999999</v>
      </c>
      <c r="V42" s="14">
        <v>1.9584299999999999</v>
      </c>
      <c r="W42" s="14">
        <v>30.935459999999999</v>
      </c>
      <c r="X42" s="11">
        <v>270</v>
      </c>
      <c r="Y42" s="10">
        <v>43424</v>
      </c>
      <c r="Z42" s="11">
        <v>0</v>
      </c>
      <c r="AA42" s="12" t="s">
        <v>157</v>
      </c>
      <c r="AB42" s="11" t="s">
        <v>150</v>
      </c>
      <c r="AC42" s="12" t="s">
        <v>151</v>
      </c>
      <c r="AD42" s="11" t="s">
        <v>42</v>
      </c>
      <c r="AE42" s="12" t="s">
        <v>43</v>
      </c>
      <c r="AF42" s="14">
        <f t="shared" si="0"/>
        <v>0.32893889999999998</v>
      </c>
      <c r="AG42" s="11" t="s">
        <v>146</v>
      </c>
    </row>
    <row r="43" spans="1:33" x14ac:dyDescent="0.2">
      <c r="A43" s="8">
        <v>7433</v>
      </c>
      <c r="B43" s="9" t="s">
        <v>154</v>
      </c>
      <c r="C43" s="10">
        <v>43432</v>
      </c>
      <c r="D43" s="11">
        <v>52</v>
      </c>
      <c r="E43" s="12" t="s">
        <v>34</v>
      </c>
      <c r="F43" s="12" t="s">
        <v>34</v>
      </c>
      <c r="G43" s="12" t="s">
        <v>34</v>
      </c>
      <c r="H43" s="12" t="s">
        <v>35</v>
      </c>
      <c r="I43" s="11" t="s">
        <v>160</v>
      </c>
      <c r="J43" s="12" t="s">
        <v>161</v>
      </c>
      <c r="K43" s="13" t="s">
        <v>67</v>
      </c>
      <c r="L43" s="11" t="str">
        <f>"000121"</f>
        <v>000121</v>
      </c>
      <c r="M43" s="10">
        <v>43416</v>
      </c>
      <c r="N43" s="11" t="str">
        <f>"000108"</f>
        <v>000108</v>
      </c>
      <c r="O43" s="10">
        <v>43416</v>
      </c>
      <c r="P43" s="11" t="str">
        <f>"000269"</f>
        <v>000269</v>
      </c>
      <c r="Q43" s="10">
        <v>43416</v>
      </c>
      <c r="R43" s="11">
        <v>18</v>
      </c>
      <c r="S43" s="11" t="str">
        <f>"007607"</f>
        <v>007607</v>
      </c>
      <c r="T43" s="10">
        <v>43431</v>
      </c>
      <c r="U43" s="14">
        <v>55.398000000000003</v>
      </c>
      <c r="V43" s="14">
        <v>3.4931000000000001</v>
      </c>
      <c r="W43" s="14">
        <v>51.904899999999998</v>
      </c>
      <c r="X43" s="11">
        <v>277</v>
      </c>
      <c r="Y43" s="10">
        <v>43432</v>
      </c>
      <c r="Z43" s="11">
        <v>9964121710</v>
      </c>
      <c r="AA43" s="12" t="s">
        <v>162</v>
      </c>
      <c r="AB43" s="11" t="s">
        <v>150</v>
      </c>
      <c r="AC43" s="12" t="s">
        <v>151</v>
      </c>
      <c r="AD43" s="11" t="s">
        <v>42</v>
      </c>
      <c r="AE43" s="12" t="s">
        <v>43</v>
      </c>
      <c r="AF43" s="14">
        <f t="shared" si="0"/>
        <v>0.55398000000000003</v>
      </c>
      <c r="AG43" s="11" t="s">
        <v>146</v>
      </c>
    </row>
    <row r="44" spans="1:33" x14ac:dyDescent="0.2">
      <c r="A44" s="8">
        <v>7434</v>
      </c>
      <c r="B44" s="9" t="s">
        <v>154</v>
      </c>
      <c r="C44" s="10">
        <v>43432</v>
      </c>
      <c r="D44" s="11">
        <v>52</v>
      </c>
      <c r="E44" s="12" t="s">
        <v>34</v>
      </c>
      <c r="F44" s="12" t="s">
        <v>34</v>
      </c>
      <c r="G44" s="12" t="s">
        <v>34</v>
      </c>
      <c r="H44" s="12" t="s">
        <v>35</v>
      </c>
      <c r="I44" s="11" t="s">
        <v>163</v>
      </c>
      <c r="J44" s="12" t="s">
        <v>164</v>
      </c>
      <c r="K44" s="13" t="s">
        <v>67</v>
      </c>
      <c r="L44" s="11" t="str">
        <f>"000119"</f>
        <v>000119</v>
      </c>
      <c r="M44" s="10">
        <v>43416</v>
      </c>
      <c r="N44" s="11" t="str">
        <f>"000107"</f>
        <v>000107</v>
      </c>
      <c r="O44" s="10">
        <v>43416</v>
      </c>
      <c r="P44" s="11" t="str">
        <f>"000268"</f>
        <v>000268</v>
      </c>
      <c r="Q44" s="10">
        <v>43416</v>
      </c>
      <c r="R44" s="11">
        <v>18</v>
      </c>
      <c r="S44" s="11" t="str">
        <f>"007609"</f>
        <v>007609</v>
      </c>
      <c r="T44" s="10">
        <v>43431</v>
      </c>
      <c r="U44" s="14">
        <v>55.383589999999998</v>
      </c>
      <c r="V44" s="14">
        <v>3.1452300000000002</v>
      </c>
      <c r="W44" s="14">
        <v>52.23836</v>
      </c>
      <c r="X44" s="11">
        <v>277</v>
      </c>
      <c r="Y44" s="10">
        <v>43432</v>
      </c>
      <c r="Z44" s="11">
        <v>9964121710</v>
      </c>
      <c r="AA44" s="12" t="s">
        <v>162</v>
      </c>
      <c r="AB44" s="11" t="s">
        <v>150</v>
      </c>
      <c r="AC44" s="12" t="s">
        <v>151</v>
      </c>
      <c r="AD44" s="11" t="s">
        <v>42</v>
      </c>
      <c r="AE44" s="12" t="s">
        <v>43</v>
      </c>
      <c r="AF44" s="14">
        <f t="shared" si="0"/>
        <v>0.55383589999999994</v>
      </c>
      <c r="AG44" s="11" t="s">
        <v>146</v>
      </c>
    </row>
    <row r="45" spans="1:33" x14ac:dyDescent="0.2">
      <c r="A45" s="8">
        <v>7499</v>
      </c>
      <c r="B45" s="9" t="s">
        <v>165</v>
      </c>
      <c r="C45" s="10">
        <v>43437</v>
      </c>
      <c r="D45" s="11">
        <v>52</v>
      </c>
      <c r="E45" s="12" t="s">
        <v>34</v>
      </c>
      <c r="F45" s="12" t="s">
        <v>34</v>
      </c>
      <c r="G45" s="12" t="s">
        <v>34</v>
      </c>
      <c r="H45" s="12" t="s">
        <v>35</v>
      </c>
      <c r="I45" s="11" t="s">
        <v>166</v>
      </c>
      <c r="J45" s="12" t="s">
        <v>167</v>
      </c>
      <c r="K45" s="13" t="s">
        <v>60</v>
      </c>
      <c r="L45" s="11" t="str">
        <f>"000013"</f>
        <v>000013</v>
      </c>
      <c r="M45" s="10">
        <v>42835</v>
      </c>
      <c r="N45" s="11" t="str">
        <f>"000039"</f>
        <v>000039</v>
      </c>
      <c r="O45" s="10">
        <v>42949</v>
      </c>
      <c r="P45" s="11" t="str">
        <f>"000041"</f>
        <v>000041</v>
      </c>
      <c r="Q45" s="10">
        <v>42886</v>
      </c>
      <c r="R45" s="11">
        <v>17</v>
      </c>
      <c r="S45" s="11" t="str">
        <f>"007462"</f>
        <v>007462</v>
      </c>
      <c r="T45" s="10">
        <v>43421</v>
      </c>
      <c r="U45" s="14">
        <v>51.723030000000001</v>
      </c>
      <c r="V45" s="14">
        <v>7.1547000000000001</v>
      </c>
      <c r="W45" s="14">
        <v>44.568330000000003</v>
      </c>
      <c r="X45" s="11">
        <v>279</v>
      </c>
      <c r="Y45" s="10">
        <v>43437</v>
      </c>
      <c r="Z45" s="11">
        <v>9611168997</v>
      </c>
      <c r="AA45" s="12" t="s">
        <v>168</v>
      </c>
      <c r="AB45" s="11" t="s">
        <v>62</v>
      </c>
      <c r="AC45" s="12" t="s">
        <v>63</v>
      </c>
      <c r="AD45" s="11" t="s">
        <v>42</v>
      </c>
      <c r="AE45" s="12" t="s">
        <v>43</v>
      </c>
      <c r="AF45" s="14">
        <f t="shared" si="0"/>
        <v>0.51723030000000003</v>
      </c>
      <c r="AG45" s="11" t="s">
        <v>44</v>
      </c>
    </row>
    <row r="46" spans="1:33" x14ac:dyDescent="0.2">
      <c r="A46" s="8">
        <v>7500</v>
      </c>
      <c r="B46" s="9" t="s">
        <v>165</v>
      </c>
      <c r="C46" s="10">
        <v>43437</v>
      </c>
      <c r="D46" s="11">
        <v>52</v>
      </c>
      <c r="E46" s="12" t="s">
        <v>34</v>
      </c>
      <c r="F46" s="12" t="s">
        <v>34</v>
      </c>
      <c r="G46" s="12" t="s">
        <v>34</v>
      </c>
      <c r="H46" s="12" t="s">
        <v>35</v>
      </c>
      <c r="I46" s="11" t="s">
        <v>169</v>
      </c>
      <c r="J46" s="12" t="s">
        <v>170</v>
      </c>
      <c r="K46" s="13" t="s">
        <v>139</v>
      </c>
      <c r="L46" s="11" t="str">
        <f>"000184"</f>
        <v>000184</v>
      </c>
      <c r="M46" s="10">
        <v>43159</v>
      </c>
      <c r="N46" s="11" t="str">
        <f>"000111"</f>
        <v>000111</v>
      </c>
      <c r="O46" s="10">
        <v>43159</v>
      </c>
      <c r="P46" s="11" t="str">
        <f>"000213"</f>
        <v>000213</v>
      </c>
      <c r="Q46" s="10">
        <v>43159</v>
      </c>
      <c r="R46" s="11">
        <v>17</v>
      </c>
      <c r="S46" s="11" t="str">
        <f>"007508"</f>
        <v>007508</v>
      </c>
      <c r="T46" s="10">
        <v>43426</v>
      </c>
      <c r="U46" s="14">
        <v>39.622390000000003</v>
      </c>
      <c r="V46" s="14">
        <v>4.8061800000000003</v>
      </c>
      <c r="W46" s="14">
        <v>34.816209999999998</v>
      </c>
      <c r="X46" s="11">
        <v>280</v>
      </c>
      <c r="Y46" s="10">
        <v>43437</v>
      </c>
      <c r="Z46" s="11">
        <v>9341183339</v>
      </c>
      <c r="AA46" s="12" t="s">
        <v>171</v>
      </c>
      <c r="AB46" s="11" t="s">
        <v>172</v>
      </c>
      <c r="AC46" s="12" t="s">
        <v>173</v>
      </c>
      <c r="AD46" s="11" t="s">
        <v>42</v>
      </c>
      <c r="AE46" s="12" t="s">
        <v>43</v>
      </c>
      <c r="AF46" s="14">
        <f t="shared" si="0"/>
        <v>0.39622390000000002</v>
      </c>
      <c r="AG46" s="11" t="s">
        <v>44</v>
      </c>
    </row>
    <row r="47" spans="1:33" x14ac:dyDescent="0.2">
      <c r="A47" s="8">
        <v>7501</v>
      </c>
      <c r="B47" s="9" t="s">
        <v>165</v>
      </c>
      <c r="C47" s="10">
        <v>43437</v>
      </c>
      <c r="D47" s="11">
        <v>52</v>
      </c>
      <c r="E47" s="12" t="s">
        <v>34</v>
      </c>
      <c r="F47" s="12" t="s">
        <v>34</v>
      </c>
      <c r="G47" s="12" t="s">
        <v>34</v>
      </c>
      <c r="H47" s="12" t="s">
        <v>35</v>
      </c>
      <c r="I47" s="11" t="s">
        <v>174</v>
      </c>
      <c r="J47" s="12" t="s">
        <v>175</v>
      </c>
      <c r="K47" s="13" t="s">
        <v>60</v>
      </c>
      <c r="L47" s="11" t="str">
        <f>"000185"</f>
        <v>000185</v>
      </c>
      <c r="M47" s="10">
        <v>43159</v>
      </c>
      <c r="N47" s="11" t="str">
        <f>"000112"</f>
        <v>000112</v>
      </c>
      <c r="O47" s="10">
        <v>43159</v>
      </c>
      <c r="P47" s="11" t="str">
        <f>"000214"</f>
        <v>000214</v>
      </c>
      <c r="Q47" s="10">
        <v>43159</v>
      </c>
      <c r="R47" s="11">
        <v>17</v>
      </c>
      <c r="S47" s="11" t="str">
        <f>"007509"</f>
        <v>007509</v>
      </c>
      <c r="T47" s="10">
        <v>43426</v>
      </c>
      <c r="U47" s="14">
        <v>29.978899999999999</v>
      </c>
      <c r="V47" s="14">
        <v>3.5315599999999998</v>
      </c>
      <c r="W47" s="14">
        <v>26.447340000000001</v>
      </c>
      <c r="X47" s="11">
        <v>280</v>
      </c>
      <c r="Y47" s="10">
        <v>43437</v>
      </c>
      <c r="Z47" s="11">
        <v>9341183339</v>
      </c>
      <c r="AA47" s="12" t="s">
        <v>176</v>
      </c>
      <c r="AB47" s="11" t="s">
        <v>172</v>
      </c>
      <c r="AC47" s="12" t="s">
        <v>173</v>
      </c>
      <c r="AD47" s="11" t="s">
        <v>42</v>
      </c>
      <c r="AE47" s="12" t="s">
        <v>43</v>
      </c>
      <c r="AF47" s="14">
        <f t="shared" si="0"/>
        <v>0.29978899999999997</v>
      </c>
      <c r="AG47" s="11" t="s">
        <v>44</v>
      </c>
    </row>
    <row r="48" spans="1:33" x14ac:dyDescent="0.2">
      <c r="A48" s="8">
        <v>7717</v>
      </c>
      <c r="B48" s="9" t="s">
        <v>165</v>
      </c>
      <c r="C48" s="10">
        <v>43448</v>
      </c>
      <c r="D48" s="11">
        <v>52</v>
      </c>
      <c r="E48" s="12" t="s">
        <v>34</v>
      </c>
      <c r="F48" s="12" t="s">
        <v>34</v>
      </c>
      <c r="G48" s="12" t="s">
        <v>34</v>
      </c>
      <c r="H48" s="12" t="s">
        <v>35</v>
      </c>
      <c r="I48" s="11" t="s">
        <v>177</v>
      </c>
      <c r="J48" s="12" t="s">
        <v>178</v>
      </c>
      <c r="K48" s="13" t="s">
        <v>67</v>
      </c>
      <c r="L48" s="11" t="str">
        <f>"000041"</f>
        <v>000041</v>
      </c>
      <c r="M48" s="10">
        <v>43055</v>
      </c>
      <c r="N48" s="11" t="str">
        <f>"000042"</f>
        <v>000042</v>
      </c>
      <c r="O48" s="10">
        <v>43055</v>
      </c>
      <c r="P48" s="11" t="str">
        <f>"000037"</f>
        <v>000037</v>
      </c>
      <c r="Q48" s="10">
        <v>43055</v>
      </c>
      <c r="R48" s="11">
        <v>18</v>
      </c>
      <c r="S48" s="11" t="str">
        <f>"007889"</f>
        <v>007889</v>
      </c>
      <c r="T48" s="10">
        <v>43445</v>
      </c>
      <c r="U48" s="14">
        <v>52.102229999999999</v>
      </c>
      <c r="V48" s="14">
        <v>5.2779400000000001</v>
      </c>
      <c r="W48" s="14">
        <v>46.824289999999998</v>
      </c>
      <c r="X48" s="11">
        <v>292</v>
      </c>
      <c r="Y48" s="10">
        <v>43448</v>
      </c>
      <c r="Z48" s="11">
        <v>9980796171</v>
      </c>
      <c r="AA48" s="12" t="s">
        <v>179</v>
      </c>
      <c r="AB48" s="11" t="s">
        <v>180</v>
      </c>
      <c r="AC48" s="12" t="s">
        <v>181</v>
      </c>
      <c r="AD48" s="11" t="s">
        <v>71</v>
      </c>
      <c r="AE48" s="12" t="s">
        <v>72</v>
      </c>
      <c r="AF48" s="14">
        <f t="shared" si="0"/>
        <v>0.52102229999999994</v>
      </c>
      <c r="AG48" s="11" t="s">
        <v>44</v>
      </c>
    </row>
    <row r="49" spans="1:33" x14ac:dyDescent="0.2">
      <c r="A49" s="8">
        <v>7718</v>
      </c>
      <c r="B49" s="9" t="s">
        <v>165</v>
      </c>
      <c r="C49" s="10">
        <v>43448</v>
      </c>
      <c r="D49" s="11">
        <v>52</v>
      </c>
      <c r="E49" s="12" t="s">
        <v>34</v>
      </c>
      <c r="F49" s="12" t="s">
        <v>34</v>
      </c>
      <c r="G49" s="12" t="s">
        <v>34</v>
      </c>
      <c r="H49" s="12" t="s">
        <v>35</v>
      </c>
      <c r="I49" s="11" t="s">
        <v>182</v>
      </c>
      <c r="J49" s="12" t="s">
        <v>183</v>
      </c>
      <c r="K49" s="13" t="s">
        <v>67</v>
      </c>
      <c r="L49" s="11" t="str">
        <f>"000042"</f>
        <v>000042</v>
      </c>
      <c r="M49" s="10">
        <v>43055</v>
      </c>
      <c r="N49" s="11" t="str">
        <f>"000041"</f>
        <v>000041</v>
      </c>
      <c r="O49" s="10">
        <v>43055</v>
      </c>
      <c r="P49" s="11" t="str">
        <f>"000038"</f>
        <v>000038</v>
      </c>
      <c r="Q49" s="10">
        <v>43055</v>
      </c>
      <c r="R49" s="11">
        <v>18</v>
      </c>
      <c r="S49" s="11" t="str">
        <f>"007891"</f>
        <v>007891</v>
      </c>
      <c r="T49" s="10">
        <v>43445</v>
      </c>
      <c r="U49" s="14">
        <v>52.05874</v>
      </c>
      <c r="V49" s="14">
        <v>5.2735500000000002</v>
      </c>
      <c r="W49" s="14">
        <v>46.78519</v>
      </c>
      <c r="X49" s="11">
        <v>292</v>
      </c>
      <c r="Y49" s="10">
        <v>43448</v>
      </c>
      <c r="Z49" s="11">
        <v>9980796171</v>
      </c>
      <c r="AA49" s="12" t="s">
        <v>184</v>
      </c>
      <c r="AB49" s="11" t="s">
        <v>180</v>
      </c>
      <c r="AC49" s="12" t="s">
        <v>181</v>
      </c>
      <c r="AD49" s="11" t="s">
        <v>71</v>
      </c>
      <c r="AE49" s="12" t="s">
        <v>72</v>
      </c>
      <c r="AF49" s="14">
        <f t="shared" si="0"/>
        <v>0.52058740000000003</v>
      </c>
      <c r="AG49" s="11" t="s">
        <v>44</v>
      </c>
    </row>
    <row r="50" spans="1:33" x14ac:dyDescent="0.2">
      <c r="A50" s="8">
        <v>7719</v>
      </c>
      <c r="B50" s="9" t="s">
        <v>165</v>
      </c>
      <c r="C50" s="10">
        <v>43448</v>
      </c>
      <c r="D50" s="11">
        <v>52</v>
      </c>
      <c r="E50" s="12" t="s">
        <v>34</v>
      </c>
      <c r="F50" s="12" t="s">
        <v>34</v>
      </c>
      <c r="G50" s="12" t="s">
        <v>34</v>
      </c>
      <c r="H50" s="12" t="s">
        <v>35</v>
      </c>
      <c r="I50" s="11" t="s">
        <v>185</v>
      </c>
      <c r="J50" s="12" t="s">
        <v>186</v>
      </c>
      <c r="K50" s="13" t="s">
        <v>67</v>
      </c>
      <c r="L50" s="11" t="str">
        <f>"000043"</f>
        <v>000043</v>
      </c>
      <c r="M50" s="10">
        <v>43055</v>
      </c>
      <c r="N50" s="11" t="str">
        <f>"000040"</f>
        <v>000040</v>
      </c>
      <c r="O50" s="10">
        <v>43055</v>
      </c>
      <c r="P50" s="11" t="str">
        <f>"000039"</f>
        <v>000039</v>
      </c>
      <c r="Q50" s="10">
        <v>43055</v>
      </c>
      <c r="R50" s="11">
        <v>18</v>
      </c>
      <c r="S50" s="11" t="str">
        <f>"007892"</f>
        <v>007892</v>
      </c>
      <c r="T50" s="10">
        <v>43445</v>
      </c>
      <c r="U50" s="14">
        <v>52.05274</v>
      </c>
      <c r="V50" s="14">
        <v>5.2730499999999996</v>
      </c>
      <c r="W50" s="14">
        <v>46.779690000000002</v>
      </c>
      <c r="X50" s="11">
        <v>292</v>
      </c>
      <c r="Y50" s="10">
        <v>43448</v>
      </c>
      <c r="Z50" s="11">
        <v>9980796171</v>
      </c>
      <c r="AA50" s="12" t="s">
        <v>179</v>
      </c>
      <c r="AB50" s="11" t="s">
        <v>180</v>
      </c>
      <c r="AC50" s="12" t="s">
        <v>181</v>
      </c>
      <c r="AD50" s="11" t="s">
        <v>71</v>
      </c>
      <c r="AE50" s="12" t="s">
        <v>72</v>
      </c>
      <c r="AF50" s="14">
        <f t="shared" si="0"/>
        <v>0.52052739999999997</v>
      </c>
      <c r="AG50" s="11" t="s">
        <v>44</v>
      </c>
    </row>
    <row r="51" spans="1:33" x14ac:dyDescent="0.2">
      <c r="A51" s="8">
        <v>7835</v>
      </c>
      <c r="B51" s="9" t="s">
        <v>165</v>
      </c>
      <c r="C51" s="10">
        <v>43451</v>
      </c>
      <c r="D51" s="11">
        <v>52</v>
      </c>
      <c r="E51" s="12" t="s">
        <v>34</v>
      </c>
      <c r="F51" s="12" t="s">
        <v>34</v>
      </c>
      <c r="G51" s="12" t="s">
        <v>34</v>
      </c>
      <c r="H51" s="12" t="s">
        <v>35</v>
      </c>
      <c r="I51" s="11" t="s">
        <v>187</v>
      </c>
      <c r="J51" s="12" t="s">
        <v>188</v>
      </c>
      <c r="K51" s="13" t="s">
        <v>67</v>
      </c>
      <c r="L51" s="11" t="str">
        <f>"000151"</f>
        <v>000151</v>
      </c>
      <c r="M51" s="10">
        <v>43424</v>
      </c>
      <c r="N51" s="11" t="str">
        <f>"000117"</f>
        <v>000117</v>
      </c>
      <c r="O51" s="10">
        <v>43445</v>
      </c>
      <c r="P51" s="11" t="str">
        <f>"000285"</f>
        <v>000285</v>
      </c>
      <c r="Q51" s="10">
        <v>43445</v>
      </c>
      <c r="R51" s="11">
        <v>18</v>
      </c>
      <c r="S51" s="11" t="str">
        <f>"008015"</f>
        <v>008015</v>
      </c>
      <c r="T51" s="10">
        <v>43449</v>
      </c>
      <c r="U51" s="14">
        <v>57.103279999999998</v>
      </c>
      <c r="V51" s="14">
        <v>3.8161399999999999</v>
      </c>
      <c r="W51" s="14">
        <v>53.287140000000001</v>
      </c>
      <c r="X51" s="11">
        <v>294</v>
      </c>
      <c r="Y51" s="10">
        <v>43451</v>
      </c>
      <c r="Z51" s="11">
        <v>0</v>
      </c>
      <c r="AA51" s="12" t="s">
        <v>189</v>
      </c>
      <c r="AB51" s="11" t="s">
        <v>150</v>
      </c>
      <c r="AC51" s="12" t="s">
        <v>151</v>
      </c>
      <c r="AD51" s="11" t="s">
        <v>42</v>
      </c>
      <c r="AE51" s="12" t="s">
        <v>43</v>
      </c>
      <c r="AF51" s="14">
        <f t="shared" si="0"/>
        <v>0.57103280000000001</v>
      </c>
      <c r="AG51" s="11" t="s">
        <v>146</v>
      </c>
    </row>
    <row r="52" spans="1:33" x14ac:dyDescent="0.2">
      <c r="A52" s="8">
        <v>7836</v>
      </c>
      <c r="B52" s="9" t="s">
        <v>165</v>
      </c>
      <c r="C52" s="10">
        <v>43451</v>
      </c>
      <c r="D52" s="11">
        <v>52</v>
      </c>
      <c r="E52" s="12" t="s">
        <v>34</v>
      </c>
      <c r="F52" s="12" t="s">
        <v>34</v>
      </c>
      <c r="G52" s="12" t="s">
        <v>34</v>
      </c>
      <c r="H52" s="12" t="s">
        <v>35</v>
      </c>
      <c r="I52" s="11" t="s">
        <v>190</v>
      </c>
      <c r="J52" s="12" t="s">
        <v>191</v>
      </c>
      <c r="K52" s="13" t="s">
        <v>67</v>
      </c>
      <c r="L52" s="11" t="str">
        <f>"000152"</f>
        <v>000152</v>
      </c>
      <c r="M52" s="10">
        <v>43424</v>
      </c>
      <c r="N52" s="11" t="str">
        <f>"000118"</f>
        <v>000118</v>
      </c>
      <c r="O52" s="10">
        <v>43445</v>
      </c>
      <c r="P52" s="11" t="str">
        <f>"000286"</f>
        <v>000286</v>
      </c>
      <c r="Q52" s="10">
        <v>43445</v>
      </c>
      <c r="R52" s="11">
        <v>18</v>
      </c>
      <c r="S52" s="11" t="str">
        <f>"008016"</f>
        <v>008016</v>
      </c>
      <c r="T52" s="10">
        <v>43449</v>
      </c>
      <c r="U52" s="14">
        <v>56.250950000000003</v>
      </c>
      <c r="V52" s="14">
        <v>3.5737899999999998</v>
      </c>
      <c r="W52" s="14">
        <v>52.677160000000001</v>
      </c>
      <c r="X52" s="11">
        <v>294</v>
      </c>
      <c r="Y52" s="10">
        <v>43451</v>
      </c>
      <c r="Z52" s="11">
        <v>0</v>
      </c>
      <c r="AA52" s="12" t="s">
        <v>192</v>
      </c>
      <c r="AB52" s="11" t="s">
        <v>150</v>
      </c>
      <c r="AC52" s="12" t="s">
        <v>151</v>
      </c>
      <c r="AD52" s="11" t="s">
        <v>42</v>
      </c>
      <c r="AE52" s="12" t="s">
        <v>43</v>
      </c>
      <c r="AF52" s="14">
        <f t="shared" si="0"/>
        <v>0.5625095</v>
      </c>
      <c r="AG52" s="11" t="s">
        <v>146</v>
      </c>
    </row>
    <row r="53" spans="1:33" x14ac:dyDescent="0.2">
      <c r="A53" s="8">
        <v>7837</v>
      </c>
      <c r="B53" s="9" t="s">
        <v>165</v>
      </c>
      <c r="C53" s="10">
        <v>43451</v>
      </c>
      <c r="D53" s="11">
        <v>52</v>
      </c>
      <c r="E53" s="12" t="s">
        <v>34</v>
      </c>
      <c r="F53" s="12" t="s">
        <v>34</v>
      </c>
      <c r="G53" s="12" t="s">
        <v>34</v>
      </c>
      <c r="H53" s="12" t="s">
        <v>35</v>
      </c>
      <c r="I53" s="11" t="s">
        <v>193</v>
      </c>
      <c r="J53" s="12" t="s">
        <v>194</v>
      </c>
      <c r="K53" s="13" t="s">
        <v>67</v>
      </c>
      <c r="L53" s="11" t="str">
        <f>"000154"</f>
        <v>000154</v>
      </c>
      <c r="M53" s="10">
        <v>43424</v>
      </c>
      <c r="N53" s="11" t="str">
        <f>"000119"</f>
        <v>000119</v>
      </c>
      <c r="O53" s="10">
        <v>43445</v>
      </c>
      <c r="P53" s="11" t="str">
        <f>"000287"</f>
        <v>000287</v>
      </c>
      <c r="Q53" s="10">
        <v>43445</v>
      </c>
      <c r="R53" s="11">
        <v>18</v>
      </c>
      <c r="S53" s="11" t="str">
        <f>"008017"</f>
        <v>008017</v>
      </c>
      <c r="T53" s="10">
        <v>43449</v>
      </c>
      <c r="U53" s="14">
        <v>56.192830000000001</v>
      </c>
      <c r="V53" s="14">
        <v>3.6255999999999999</v>
      </c>
      <c r="W53" s="14">
        <v>52.567230000000002</v>
      </c>
      <c r="X53" s="11">
        <v>294</v>
      </c>
      <c r="Y53" s="10">
        <v>43451</v>
      </c>
      <c r="Z53" s="11">
        <v>0</v>
      </c>
      <c r="AA53" s="12" t="s">
        <v>192</v>
      </c>
      <c r="AB53" s="11" t="s">
        <v>150</v>
      </c>
      <c r="AC53" s="12" t="s">
        <v>151</v>
      </c>
      <c r="AD53" s="11" t="s">
        <v>42</v>
      </c>
      <c r="AE53" s="12" t="s">
        <v>43</v>
      </c>
      <c r="AF53" s="14">
        <f t="shared" si="0"/>
        <v>0.56192830000000005</v>
      </c>
      <c r="AG53" s="11" t="s">
        <v>146</v>
      </c>
    </row>
    <row r="54" spans="1:33" x14ac:dyDescent="0.2">
      <c r="A54" s="8">
        <v>7838</v>
      </c>
      <c r="B54" s="9" t="s">
        <v>165</v>
      </c>
      <c r="C54" s="10">
        <v>43451</v>
      </c>
      <c r="D54" s="11">
        <v>52</v>
      </c>
      <c r="E54" s="12" t="s">
        <v>34</v>
      </c>
      <c r="F54" s="12" t="s">
        <v>34</v>
      </c>
      <c r="G54" s="12" t="s">
        <v>34</v>
      </c>
      <c r="H54" s="12" t="s">
        <v>35</v>
      </c>
      <c r="I54" s="11" t="s">
        <v>195</v>
      </c>
      <c r="J54" s="12" t="s">
        <v>196</v>
      </c>
      <c r="K54" s="13" t="s">
        <v>67</v>
      </c>
      <c r="L54" s="11" t="str">
        <f>"000087"</f>
        <v>000087</v>
      </c>
      <c r="M54" s="10">
        <v>43384</v>
      </c>
      <c r="N54" s="11" t="str">
        <f>"000120"</f>
        <v>000120</v>
      </c>
      <c r="O54" s="10">
        <v>43445</v>
      </c>
      <c r="P54" s="11" t="str">
        <f>"000288"</f>
        <v>000288</v>
      </c>
      <c r="Q54" s="10">
        <v>43445</v>
      </c>
      <c r="R54" s="11">
        <v>18</v>
      </c>
      <c r="S54" s="11" t="str">
        <f>"008018"</f>
        <v>008018</v>
      </c>
      <c r="T54" s="10">
        <v>43449</v>
      </c>
      <c r="U54" s="14">
        <v>28.032050000000002</v>
      </c>
      <c r="V54" s="14">
        <v>1.7402</v>
      </c>
      <c r="W54" s="14">
        <v>26.29185</v>
      </c>
      <c r="X54" s="11">
        <v>294</v>
      </c>
      <c r="Y54" s="10">
        <v>43451</v>
      </c>
      <c r="Z54" s="11">
        <v>0</v>
      </c>
      <c r="AA54" s="12" t="s">
        <v>197</v>
      </c>
      <c r="AB54" s="11" t="s">
        <v>150</v>
      </c>
      <c r="AC54" s="12" t="s">
        <v>151</v>
      </c>
      <c r="AD54" s="11" t="s">
        <v>42</v>
      </c>
      <c r="AE54" s="12" t="s">
        <v>43</v>
      </c>
      <c r="AF54" s="14">
        <f t="shared" si="0"/>
        <v>0.28032050000000003</v>
      </c>
      <c r="AG54" s="11" t="s">
        <v>146</v>
      </c>
    </row>
    <row r="55" spans="1:33" x14ac:dyDescent="0.2">
      <c r="A55" s="8">
        <v>7839</v>
      </c>
      <c r="B55" s="9" t="s">
        <v>165</v>
      </c>
      <c r="C55" s="10">
        <v>43451</v>
      </c>
      <c r="D55" s="11">
        <v>52</v>
      </c>
      <c r="E55" s="12" t="s">
        <v>34</v>
      </c>
      <c r="F55" s="12" t="s">
        <v>34</v>
      </c>
      <c r="G55" s="12" t="s">
        <v>34</v>
      </c>
      <c r="H55" s="12" t="s">
        <v>35</v>
      </c>
      <c r="I55" s="11" t="s">
        <v>198</v>
      </c>
      <c r="J55" s="12" t="s">
        <v>199</v>
      </c>
      <c r="K55" s="13" t="s">
        <v>67</v>
      </c>
      <c r="L55" s="11" t="str">
        <f>"000086"</f>
        <v>000086</v>
      </c>
      <c r="M55" s="10">
        <v>43384</v>
      </c>
      <c r="N55" s="11" t="str">
        <f>"000122"</f>
        <v>000122</v>
      </c>
      <c r="O55" s="10">
        <v>43445</v>
      </c>
      <c r="P55" s="11" t="str">
        <f>"000290"</f>
        <v>000290</v>
      </c>
      <c r="Q55" s="10">
        <v>43445</v>
      </c>
      <c r="R55" s="11">
        <v>18</v>
      </c>
      <c r="S55" s="11" t="str">
        <f>"008019"</f>
        <v>008019</v>
      </c>
      <c r="T55" s="10">
        <v>43449</v>
      </c>
      <c r="U55" s="14">
        <v>28.61279</v>
      </c>
      <c r="V55" s="14">
        <v>1.8779300000000001</v>
      </c>
      <c r="W55" s="14">
        <v>26.734860000000001</v>
      </c>
      <c r="X55" s="11">
        <v>294</v>
      </c>
      <c r="Y55" s="10">
        <v>43451</v>
      </c>
      <c r="Z55" s="11">
        <v>0</v>
      </c>
      <c r="AA55" s="12" t="s">
        <v>200</v>
      </c>
      <c r="AB55" s="11" t="s">
        <v>150</v>
      </c>
      <c r="AC55" s="12" t="s">
        <v>151</v>
      </c>
      <c r="AD55" s="11" t="s">
        <v>42</v>
      </c>
      <c r="AE55" s="12" t="s">
        <v>43</v>
      </c>
      <c r="AF55" s="14">
        <f t="shared" si="0"/>
        <v>0.28612789999999999</v>
      </c>
      <c r="AG55" s="11" t="s">
        <v>146</v>
      </c>
    </row>
    <row r="56" spans="1:33" x14ac:dyDescent="0.2">
      <c r="A56" s="8">
        <v>7840</v>
      </c>
      <c r="B56" s="9" t="s">
        <v>165</v>
      </c>
      <c r="C56" s="10">
        <v>43451</v>
      </c>
      <c r="D56" s="11">
        <v>52</v>
      </c>
      <c r="E56" s="12" t="s">
        <v>34</v>
      </c>
      <c r="F56" s="12" t="s">
        <v>34</v>
      </c>
      <c r="G56" s="12" t="s">
        <v>34</v>
      </c>
      <c r="H56" s="12" t="s">
        <v>35</v>
      </c>
      <c r="I56" s="11" t="s">
        <v>201</v>
      </c>
      <c r="J56" s="12" t="s">
        <v>202</v>
      </c>
      <c r="K56" s="13" t="s">
        <v>67</v>
      </c>
      <c r="L56" s="11" t="str">
        <f>"000153"</f>
        <v>000153</v>
      </c>
      <c r="M56" s="10">
        <v>43424</v>
      </c>
      <c r="N56" s="11" t="str">
        <f>"000121"</f>
        <v>000121</v>
      </c>
      <c r="O56" s="10">
        <v>43445</v>
      </c>
      <c r="P56" s="11" t="str">
        <f>"000289"</f>
        <v>000289</v>
      </c>
      <c r="Q56" s="10">
        <v>43445</v>
      </c>
      <c r="R56" s="11">
        <v>18</v>
      </c>
      <c r="S56" s="11" t="str">
        <f>"008020"</f>
        <v>008020</v>
      </c>
      <c r="T56" s="10">
        <v>43449</v>
      </c>
      <c r="U56" s="14">
        <v>56.312730000000002</v>
      </c>
      <c r="V56" s="14">
        <v>3.4777300000000002</v>
      </c>
      <c r="W56" s="14">
        <v>52.835000000000001</v>
      </c>
      <c r="X56" s="11">
        <v>294</v>
      </c>
      <c r="Y56" s="10">
        <v>43451</v>
      </c>
      <c r="Z56" s="11">
        <v>0</v>
      </c>
      <c r="AA56" s="12" t="s">
        <v>192</v>
      </c>
      <c r="AB56" s="11" t="s">
        <v>150</v>
      </c>
      <c r="AC56" s="12" t="s">
        <v>151</v>
      </c>
      <c r="AD56" s="11" t="s">
        <v>42</v>
      </c>
      <c r="AE56" s="12" t="s">
        <v>43</v>
      </c>
      <c r="AF56" s="14">
        <f t="shared" si="0"/>
        <v>0.5631273</v>
      </c>
      <c r="AG56" s="11" t="s">
        <v>146</v>
      </c>
    </row>
    <row r="57" spans="1:33" x14ac:dyDescent="0.2">
      <c r="A57" s="8">
        <v>7984</v>
      </c>
      <c r="B57" s="9" t="s">
        <v>165</v>
      </c>
      <c r="C57" s="10">
        <v>43455</v>
      </c>
      <c r="D57" s="11">
        <v>52</v>
      </c>
      <c r="E57" s="12" t="s">
        <v>34</v>
      </c>
      <c r="F57" s="12" t="s">
        <v>34</v>
      </c>
      <c r="G57" s="12" t="s">
        <v>34</v>
      </c>
      <c r="H57" s="12" t="s">
        <v>35</v>
      </c>
      <c r="I57" s="11" t="s">
        <v>203</v>
      </c>
      <c r="J57" s="12" t="s">
        <v>204</v>
      </c>
      <c r="K57" s="13" t="s">
        <v>38</v>
      </c>
      <c r="L57" s="11" t="str">
        <f>"000006"</f>
        <v>000006</v>
      </c>
      <c r="M57" s="10">
        <v>42835</v>
      </c>
      <c r="N57" s="11" t="str">
        <f>"000038"</f>
        <v>000038</v>
      </c>
      <c r="O57" s="10">
        <v>42949</v>
      </c>
      <c r="P57" s="11" t="str">
        <f>"000043"</f>
        <v>000043</v>
      </c>
      <c r="Q57" s="10">
        <v>42886</v>
      </c>
      <c r="R57" s="11">
        <v>17</v>
      </c>
      <c r="S57" s="11" t="str">
        <f>"007713"</f>
        <v>007713</v>
      </c>
      <c r="T57" s="10">
        <v>43441</v>
      </c>
      <c r="U57" s="14">
        <v>51.845930000000003</v>
      </c>
      <c r="V57" s="14">
        <v>7.1761900000000001</v>
      </c>
      <c r="W57" s="14">
        <v>44.669739999999997</v>
      </c>
      <c r="X57" s="11">
        <v>301</v>
      </c>
      <c r="Y57" s="10">
        <v>43455</v>
      </c>
      <c r="Z57" s="11">
        <v>9611168447</v>
      </c>
      <c r="AA57" s="12" t="s">
        <v>176</v>
      </c>
      <c r="AB57" s="11" t="s">
        <v>62</v>
      </c>
      <c r="AC57" s="12" t="s">
        <v>63</v>
      </c>
      <c r="AD57" s="11" t="s">
        <v>42</v>
      </c>
      <c r="AE57" s="12" t="s">
        <v>43</v>
      </c>
      <c r="AF57" s="14">
        <f t="shared" si="0"/>
        <v>0.51845930000000007</v>
      </c>
      <c r="AG57" s="11" t="s">
        <v>44</v>
      </c>
    </row>
    <row r="58" spans="1:33" x14ac:dyDescent="0.2">
      <c r="A58" s="8">
        <v>7985</v>
      </c>
      <c r="B58" s="9" t="s">
        <v>165</v>
      </c>
      <c r="C58" s="10">
        <v>43455</v>
      </c>
      <c r="D58" s="11">
        <v>52</v>
      </c>
      <c r="E58" s="12" t="s">
        <v>34</v>
      </c>
      <c r="F58" s="12" t="s">
        <v>34</v>
      </c>
      <c r="G58" s="12" t="s">
        <v>34</v>
      </c>
      <c r="H58" s="12" t="s">
        <v>35</v>
      </c>
      <c r="I58" s="11" t="s">
        <v>205</v>
      </c>
      <c r="J58" s="12" t="s">
        <v>206</v>
      </c>
      <c r="K58" s="13" t="s">
        <v>60</v>
      </c>
      <c r="L58" s="11" t="str">
        <f>"000014"</f>
        <v>000014</v>
      </c>
      <c r="M58" s="10">
        <v>42835</v>
      </c>
      <c r="N58" s="11" t="str">
        <f>"000031"</f>
        <v>000031</v>
      </c>
      <c r="O58" s="10">
        <v>42944</v>
      </c>
      <c r="P58" s="11" t="str">
        <f>"000047"</f>
        <v>000047</v>
      </c>
      <c r="Q58" s="10">
        <v>42886</v>
      </c>
      <c r="R58" s="11">
        <v>17</v>
      </c>
      <c r="S58" s="11" t="str">
        <f>"007714"</f>
        <v>007714</v>
      </c>
      <c r="T58" s="10">
        <v>43441</v>
      </c>
      <c r="U58" s="14">
        <v>51.706330000000001</v>
      </c>
      <c r="V58" s="14">
        <v>7.0689700000000002</v>
      </c>
      <c r="W58" s="14">
        <v>44.637360000000001</v>
      </c>
      <c r="X58" s="11">
        <v>301</v>
      </c>
      <c r="Y58" s="10">
        <v>43455</v>
      </c>
      <c r="Z58" s="11">
        <v>9845545101</v>
      </c>
      <c r="AA58" s="12" t="s">
        <v>207</v>
      </c>
      <c r="AB58" s="11" t="s">
        <v>62</v>
      </c>
      <c r="AC58" s="12" t="s">
        <v>63</v>
      </c>
      <c r="AD58" s="11" t="s">
        <v>42</v>
      </c>
      <c r="AE58" s="12" t="s">
        <v>43</v>
      </c>
      <c r="AF58" s="14">
        <f t="shared" si="0"/>
        <v>0.5170633</v>
      </c>
      <c r="AG58" s="11" t="s">
        <v>44</v>
      </c>
    </row>
    <row r="59" spans="1:33" x14ac:dyDescent="0.2">
      <c r="A59" s="8">
        <v>8313</v>
      </c>
      <c r="B59" s="9" t="s">
        <v>208</v>
      </c>
      <c r="C59" s="10">
        <v>43467</v>
      </c>
      <c r="D59" s="11">
        <v>52</v>
      </c>
      <c r="E59" s="12" t="s">
        <v>34</v>
      </c>
      <c r="F59" s="12" t="s">
        <v>34</v>
      </c>
      <c r="G59" s="12" t="s">
        <v>34</v>
      </c>
      <c r="H59" s="12" t="s">
        <v>35</v>
      </c>
      <c r="I59" s="11" t="s">
        <v>209</v>
      </c>
      <c r="J59" s="12" t="s">
        <v>210</v>
      </c>
      <c r="K59" s="13" t="s">
        <v>60</v>
      </c>
      <c r="L59" s="11" t="str">
        <f>"000176"</f>
        <v>000176</v>
      </c>
      <c r="M59" s="10">
        <v>43136</v>
      </c>
      <c r="N59" s="11" t="str">
        <f>"000110"</f>
        <v>000110</v>
      </c>
      <c r="O59" s="10">
        <v>43136</v>
      </c>
      <c r="P59" s="11" t="str">
        <f>"000188"</f>
        <v>000188</v>
      </c>
      <c r="Q59" s="10">
        <v>43136</v>
      </c>
      <c r="R59" s="11"/>
      <c r="S59" s="11" t="str">
        <f>"008187"</f>
        <v>008187</v>
      </c>
      <c r="T59" s="10">
        <v>43455</v>
      </c>
      <c r="U59" s="14">
        <v>20.734549999999999</v>
      </c>
      <c r="V59" s="14">
        <v>2.3793899999999999</v>
      </c>
      <c r="W59" s="14">
        <v>18.355160000000001</v>
      </c>
      <c r="X59" s="11">
        <v>310</v>
      </c>
      <c r="Y59" s="10">
        <v>43467</v>
      </c>
      <c r="Z59" s="11">
        <v>0</v>
      </c>
      <c r="AA59" s="12" t="s">
        <v>211</v>
      </c>
      <c r="AB59" s="11" t="s">
        <v>212</v>
      </c>
      <c r="AC59" s="12" t="s">
        <v>213</v>
      </c>
      <c r="AD59" s="11" t="s">
        <v>42</v>
      </c>
      <c r="AE59" s="12" t="s">
        <v>43</v>
      </c>
      <c r="AF59" s="14">
        <f t="shared" si="0"/>
        <v>0.20734549999999999</v>
      </c>
      <c r="AG59" s="11" t="s">
        <v>44</v>
      </c>
    </row>
    <row r="60" spans="1:33" x14ac:dyDescent="0.2">
      <c r="A60" s="8">
        <v>8333</v>
      </c>
      <c r="B60" s="9" t="s">
        <v>208</v>
      </c>
      <c r="C60" s="10">
        <v>43467</v>
      </c>
      <c r="D60" s="11">
        <v>52</v>
      </c>
      <c r="E60" s="12" t="s">
        <v>34</v>
      </c>
      <c r="F60" s="12" t="s">
        <v>34</v>
      </c>
      <c r="G60" s="12" t="s">
        <v>34</v>
      </c>
      <c r="H60" s="12" t="s">
        <v>35</v>
      </c>
      <c r="I60" s="11" t="s">
        <v>214</v>
      </c>
      <c r="J60" s="12" t="s">
        <v>215</v>
      </c>
      <c r="K60" s="13" t="s">
        <v>216</v>
      </c>
      <c r="L60" s="11" t="str">
        <f>"000024"</f>
        <v>000024</v>
      </c>
      <c r="M60" s="10">
        <v>43420</v>
      </c>
      <c r="N60" s="11" t="str">
        <f>"000065"</f>
        <v>000065</v>
      </c>
      <c r="O60" s="10">
        <v>43420</v>
      </c>
      <c r="P60" s="11" t="str">
        <f>"000066"</f>
        <v>000066</v>
      </c>
      <c r="Q60" s="10">
        <v>43420</v>
      </c>
      <c r="R60" s="11"/>
      <c r="S60" s="11" t="str">
        <f>"007873"</f>
        <v>007873</v>
      </c>
      <c r="T60" s="10">
        <v>43445</v>
      </c>
      <c r="U60" s="14">
        <v>0.99944999999999995</v>
      </c>
      <c r="V60" s="14">
        <v>0.10123</v>
      </c>
      <c r="W60" s="14">
        <v>0.89822000000000002</v>
      </c>
      <c r="X60" s="11">
        <v>311</v>
      </c>
      <c r="Y60" s="10">
        <v>43467</v>
      </c>
      <c r="Z60" s="11">
        <v>9480828222</v>
      </c>
      <c r="AA60" s="12" t="s">
        <v>217</v>
      </c>
      <c r="AB60" s="11" t="s">
        <v>106</v>
      </c>
      <c r="AC60" s="12" t="s">
        <v>107</v>
      </c>
      <c r="AD60" s="11" t="s">
        <v>71</v>
      </c>
      <c r="AE60" s="12" t="s">
        <v>72</v>
      </c>
      <c r="AF60" s="14">
        <f t="shared" si="0"/>
        <v>9.9944999999999999E-3</v>
      </c>
      <c r="AG60" s="11" t="s">
        <v>146</v>
      </c>
    </row>
    <row r="61" spans="1:33" x14ac:dyDescent="0.2">
      <c r="A61" s="8">
        <v>8358</v>
      </c>
      <c r="B61" s="9" t="s">
        <v>208</v>
      </c>
      <c r="C61" s="10">
        <v>43467</v>
      </c>
      <c r="D61" s="11">
        <v>52</v>
      </c>
      <c r="E61" s="12" t="s">
        <v>34</v>
      </c>
      <c r="F61" s="12" t="s">
        <v>34</v>
      </c>
      <c r="G61" s="12" t="s">
        <v>34</v>
      </c>
      <c r="H61" s="12" t="s">
        <v>35</v>
      </c>
      <c r="I61" s="11" t="s">
        <v>218</v>
      </c>
      <c r="J61" s="12" t="s">
        <v>219</v>
      </c>
      <c r="K61" s="13" t="s">
        <v>216</v>
      </c>
      <c r="L61" s="11" t="str">
        <f>"000098"</f>
        <v>000098</v>
      </c>
      <c r="M61" s="10">
        <v>43399</v>
      </c>
      <c r="N61" s="11" t="str">
        <f>"000099"</f>
        <v>000099</v>
      </c>
      <c r="O61" s="10">
        <v>43399</v>
      </c>
      <c r="P61" s="11" t="str">
        <f>"000234"</f>
        <v>000234</v>
      </c>
      <c r="Q61" s="10">
        <v>43399</v>
      </c>
      <c r="R61" s="11"/>
      <c r="S61" s="11" t="str">
        <f>"008040"</f>
        <v>008040</v>
      </c>
      <c r="T61" s="10">
        <v>43451</v>
      </c>
      <c r="U61" s="14">
        <v>18.897259999999999</v>
      </c>
      <c r="V61" s="14">
        <v>2.2538100000000001</v>
      </c>
      <c r="W61" s="14">
        <v>16.643450000000001</v>
      </c>
      <c r="X61" s="11">
        <v>311</v>
      </c>
      <c r="Y61" s="10">
        <v>43467</v>
      </c>
      <c r="Z61" s="11">
        <v>0</v>
      </c>
      <c r="AA61" s="12" t="s">
        <v>92</v>
      </c>
      <c r="AB61" s="11" t="s">
        <v>106</v>
      </c>
      <c r="AC61" s="12" t="s">
        <v>107</v>
      </c>
      <c r="AD61" s="11" t="s">
        <v>42</v>
      </c>
      <c r="AE61" s="12" t="s">
        <v>43</v>
      </c>
      <c r="AF61" s="14">
        <f t="shared" si="0"/>
        <v>0.18897259999999999</v>
      </c>
      <c r="AG61" s="11" t="s">
        <v>146</v>
      </c>
    </row>
    <row r="62" spans="1:33" x14ac:dyDescent="0.2">
      <c r="A62" s="8">
        <v>8359</v>
      </c>
      <c r="B62" s="9" t="s">
        <v>208</v>
      </c>
      <c r="C62" s="10">
        <v>43467</v>
      </c>
      <c r="D62" s="11">
        <v>52</v>
      </c>
      <c r="E62" s="12" t="s">
        <v>34</v>
      </c>
      <c r="F62" s="12" t="s">
        <v>34</v>
      </c>
      <c r="G62" s="12" t="s">
        <v>34</v>
      </c>
      <c r="H62" s="12" t="s">
        <v>35</v>
      </c>
      <c r="I62" s="11" t="s">
        <v>220</v>
      </c>
      <c r="J62" s="12" t="s">
        <v>221</v>
      </c>
      <c r="K62" s="13" t="s">
        <v>216</v>
      </c>
      <c r="L62" s="11" t="str">
        <f>"000099"</f>
        <v>000099</v>
      </c>
      <c r="M62" s="10">
        <v>43399</v>
      </c>
      <c r="N62" s="11" t="str">
        <f>"000100"</f>
        <v>000100</v>
      </c>
      <c r="O62" s="10">
        <v>43399</v>
      </c>
      <c r="P62" s="11" t="str">
        <f>"000237"</f>
        <v>000237</v>
      </c>
      <c r="Q62" s="10">
        <v>43399</v>
      </c>
      <c r="R62" s="11"/>
      <c r="S62" s="11" t="str">
        <f>"008041"</f>
        <v>008041</v>
      </c>
      <c r="T62" s="10">
        <v>43451</v>
      </c>
      <c r="U62" s="14">
        <v>18.455770000000001</v>
      </c>
      <c r="V62" s="14">
        <v>2.24641</v>
      </c>
      <c r="W62" s="14">
        <v>16.20936</v>
      </c>
      <c r="X62" s="11">
        <v>311</v>
      </c>
      <c r="Y62" s="10">
        <v>43467</v>
      </c>
      <c r="Z62" s="11">
        <v>0</v>
      </c>
      <c r="AA62" s="12" t="s">
        <v>92</v>
      </c>
      <c r="AB62" s="11" t="s">
        <v>106</v>
      </c>
      <c r="AC62" s="12" t="s">
        <v>107</v>
      </c>
      <c r="AD62" s="11" t="s">
        <v>42</v>
      </c>
      <c r="AE62" s="12" t="s">
        <v>43</v>
      </c>
      <c r="AF62" s="14">
        <f t="shared" si="0"/>
        <v>0.18455770000000002</v>
      </c>
      <c r="AG62" s="11" t="s">
        <v>146</v>
      </c>
    </row>
    <row r="63" spans="1:33" x14ac:dyDescent="0.2">
      <c r="A63" s="8">
        <v>8373</v>
      </c>
      <c r="B63" s="9" t="s">
        <v>208</v>
      </c>
      <c r="C63" s="10">
        <v>43467</v>
      </c>
      <c r="D63" s="11">
        <v>52</v>
      </c>
      <c r="E63" s="12" t="s">
        <v>34</v>
      </c>
      <c r="F63" s="12" t="s">
        <v>34</v>
      </c>
      <c r="G63" s="12" t="s">
        <v>34</v>
      </c>
      <c r="H63" s="12" t="s">
        <v>35</v>
      </c>
      <c r="I63" s="11" t="s">
        <v>222</v>
      </c>
      <c r="J63" s="12" t="s">
        <v>223</v>
      </c>
      <c r="K63" s="13" t="s">
        <v>144</v>
      </c>
      <c r="L63" s="11" t="str">
        <f>"000344"</f>
        <v>000344</v>
      </c>
      <c r="M63" s="10">
        <v>43423</v>
      </c>
      <c r="N63" s="11" t="str">
        <f>"000112"</f>
        <v>000112</v>
      </c>
      <c r="O63" s="10">
        <v>43433</v>
      </c>
      <c r="P63" s="11" t="str">
        <f>"000280"</f>
        <v>000280</v>
      </c>
      <c r="Q63" s="10">
        <v>43433</v>
      </c>
      <c r="R63" s="11"/>
      <c r="S63" s="11" t="str">
        <f>"008460"</f>
        <v>008460</v>
      </c>
      <c r="T63" s="10">
        <v>43466</v>
      </c>
      <c r="U63" s="14">
        <v>214.57131999999999</v>
      </c>
      <c r="V63" s="14">
        <v>12.76543</v>
      </c>
      <c r="W63" s="14">
        <v>201.80589000000001</v>
      </c>
      <c r="X63" s="11">
        <v>312</v>
      </c>
      <c r="Y63" s="10">
        <v>43467</v>
      </c>
      <c r="Z63" s="11">
        <v>0</v>
      </c>
      <c r="AA63" s="12" t="s">
        <v>224</v>
      </c>
      <c r="AB63" s="11" t="s">
        <v>225</v>
      </c>
      <c r="AC63" s="12" t="s">
        <v>226</v>
      </c>
      <c r="AD63" s="11" t="s">
        <v>42</v>
      </c>
      <c r="AE63" s="12" t="s">
        <v>43</v>
      </c>
      <c r="AF63" s="14">
        <f t="shared" si="0"/>
        <v>2.1457131999999999</v>
      </c>
      <c r="AG63" s="11" t="s">
        <v>146</v>
      </c>
    </row>
    <row r="64" spans="1:33" x14ac:dyDescent="0.2">
      <c r="A64" s="8">
        <v>8645</v>
      </c>
      <c r="B64" s="9" t="s">
        <v>208</v>
      </c>
      <c r="C64" s="10">
        <v>43483</v>
      </c>
      <c r="D64" s="11">
        <v>52</v>
      </c>
      <c r="E64" s="12" t="s">
        <v>34</v>
      </c>
      <c r="F64" s="12" t="s">
        <v>34</v>
      </c>
      <c r="G64" s="12" t="s">
        <v>34</v>
      </c>
      <c r="H64" s="12" t="s">
        <v>35</v>
      </c>
      <c r="I64" s="11" t="s">
        <v>227</v>
      </c>
      <c r="J64" s="12" t="s">
        <v>228</v>
      </c>
      <c r="K64" s="13" t="s">
        <v>67</v>
      </c>
      <c r="L64" s="11" t="str">
        <f>"000155"</f>
        <v>000155</v>
      </c>
      <c r="M64" s="10">
        <v>43424</v>
      </c>
      <c r="N64" s="11" t="str">
        <f>"000134"</f>
        <v>000134</v>
      </c>
      <c r="O64" s="10">
        <v>43470</v>
      </c>
      <c r="P64" s="11" t="str">
        <f>"000335"</f>
        <v>000335</v>
      </c>
      <c r="Q64" s="10">
        <v>43470</v>
      </c>
      <c r="R64" s="11"/>
      <c r="S64" s="11" t="str">
        <f>"008787"</f>
        <v>008787</v>
      </c>
      <c r="T64" s="10">
        <v>43483</v>
      </c>
      <c r="U64" s="14">
        <v>57.242339999999999</v>
      </c>
      <c r="V64" s="14">
        <v>3.7819500000000001</v>
      </c>
      <c r="W64" s="14">
        <v>53.460389999999997</v>
      </c>
      <c r="X64" s="11">
        <v>327</v>
      </c>
      <c r="Y64" s="10">
        <v>43483</v>
      </c>
      <c r="Z64" s="11">
        <v>0</v>
      </c>
      <c r="AA64" s="12" t="s">
        <v>192</v>
      </c>
      <c r="AB64" s="11" t="s">
        <v>150</v>
      </c>
      <c r="AC64" s="12" t="s">
        <v>151</v>
      </c>
      <c r="AD64" s="11" t="s">
        <v>42</v>
      </c>
      <c r="AE64" s="12" t="s">
        <v>43</v>
      </c>
      <c r="AF64" s="14">
        <f t="shared" si="0"/>
        <v>0.57242340000000003</v>
      </c>
      <c r="AG64" s="11" t="s">
        <v>146</v>
      </c>
    </row>
    <row r="65" spans="1:33" x14ac:dyDescent="0.2">
      <c r="A65" s="8">
        <v>8816</v>
      </c>
      <c r="B65" s="9" t="s">
        <v>208</v>
      </c>
      <c r="C65" s="10">
        <v>43494</v>
      </c>
      <c r="D65" s="11">
        <v>52</v>
      </c>
      <c r="E65" s="12" t="s">
        <v>34</v>
      </c>
      <c r="F65" s="12" t="s">
        <v>34</v>
      </c>
      <c r="G65" s="12" t="s">
        <v>34</v>
      </c>
      <c r="H65" s="12" t="s">
        <v>35</v>
      </c>
      <c r="I65" s="11" t="s">
        <v>229</v>
      </c>
      <c r="J65" s="12" t="s">
        <v>230</v>
      </c>
      <c r="K65" s="13" t="s">
        <v>104</v>
      </c>
      <c r="L65" s="11" t="str">
        <f>"000003"</f>
        <v>000003</v>
      </c>
      <c r="M65" s="10">
        <v>43130</v>
      </c>
      <c r="N65" s="11" t="str">
        <f>"000017"</f>
        <v>000017</v>
      </c>
      <c r="O65" s="10">
        <v>43190</v>
      </c>
      <c r="P65" s="11" t="str">
        <f>"000245"</f>
        <v>000245</v>
      </c>
      <c r="Q65" s="10">
        <v>43473</v>
      </c>
      <c r="R65" s="11"/>
      <c r="S65" s="11" t="str">
        <f>"008977"</f>
        <v>008977</v>
      </c>
      <c r="T65" s="10">
        <v>43490</v>
      </c>
      <c r="U65" s="14">
        <v>60.63</v>
      </c>
      <c r="V65" s="14">
        <v>2.7086800000000002</v>
      </c>
      <c r="W65" s="14">
        <v>57.921320000000001</v>
      </c>
      <c r="X65" s="11">
        <v>335</v>
      </c>
      <c r="Y65" s="10">
        <v>43494</v>
      </c>
      <c r="Z65" s="11">
        <v>9880627397</v>
      </c>
      <c r="AA65" s="12" t="s">
        <v>231</v>
      </c>
      <c r="AB65" s="11" t="s">
        <v>106</v>
      </c>
      <c r="AC65" s="12" t="s">
        <v>107</v>
      </c>
      <c r="AD65" s="11" t="s">
        <v>108</v>
      </c>
      <c r="AE65" s="12" t="s">
        <v>109</v>
      </c>
      <c r="AF65" s="14">
        <f t="shared" si="0"/>
        <v>0.60630000000000006</v>
      </c>
      <c r="AG65" s="11" t="s">
        <v>85</v>
      </c>
    </row>
    <row r="66" spans="1:33" x14ac:dyDescent="0.2">
      <c r="A66" s="8">
        <v>8942</v>
      </c>
      <c r="B66" s="9" t="s">
        <v>232</v>
      </c>
      <c r="C66" s="10">
        <v>43500</v>
      </c>
      <c r="D66" s="11">
        <v>52</v>
      </c>
      <c r="E66" s="12" t="s">
        <v>34</v>
      </c>
      <c r="F66" s="12" t="s">
        <v>34</v>
      </c>
      <c r="G66" s="12" t="s">
        <v>34</v>
      </c>
      <c r="H66" s="12" t="s">
        <v>35</v>
      </c>
      <c r="I66" s="11" t="s">
        <v>233</v>
      </c>
      <c r="J66" s="12" t="s">
        <v>234</v>
      </c>
      <c r="K66" s="13" t="s">
        <v>216</v>
      </c>
      <c r="L66" s="11" t="str">
        <f>"000042"</f>
        <v>000042</v>
      </c>
      <c r="M66" s="10">
        <v>43448</v>
      </c>
      <c r="N66" s="11" t="str">
        <f>"000095"</f>
        <v>000095</v>
      </c>
      <c r="O66" s="10">
        <v>43448</v>
      </c>
      <c r="P66" s="11" t="str">
        <f>"000096"</f>
        <v>000096</v>
      </c>
      <c r="Q66" s="10">
        <v>43448</v>
      </c>
      <c r="R66" s="11"/>
      <c r="S66" s="11" t="str">
        <f>"008741"</f>
        <v>008741</v>
      </c>
      <c r="T66" s="10">
        <v>43482</v>
      </c>
      <c r="U66" s="14">
        <v>0.88275999999999999</v>
      </c>
      <c r="V66" s="14">
        <v>8.9429999999999996E-2</v>
      </c>
      <c r="W66" s="14">
        <v>0.79332999999999998</v>
      </c>
      <c r="X66" s="11">
        <v>338</v>
      </c>
      <c r="Y66" s="10">
        <v>43500</v>
      </c>
      <c r="Z66" s="11">
        <v>9342541594</v>
      </c>
      <c r="AA66" s="12" t="s">
        <v>92</v>
      </c>
      <c r="AB66" s="11" t="s">
        <v>106</v>
      </c>
      <c r="AC66" s="12" t="s">
        <v>107</v>
      </c>
      <c r="AD66" s="11" t="s">
        <v>71</v>
      </c>
      <c r="AE66" s="12" t="s">
        <v>72</v>
      </c>
      <c r="AF66" s="14">
        <f t="shared" si="0"/>
        <v>8.8275999999999997E-3</v>
      </c>
      <c r="AG66" s="11" t="s">
        <v>146</v>
      </c>
    </row>
    <row r="67" spans="1:33" x14ac:dyDescent="0.2">
      <c r="A67" s="8">
        <v>9719</v>
      </c>
      <c r="B67" s="9" t="s">
        <v>235</v>
      </c>
      <c r="C67" s="10">
        <v>43540</v>
      </c>
      <c r="D67" s="11">
        <v>52</v>
      </c>
      <c r="E67" s="12" t="s">
        <v>34</v>
      </c>
      <c r="F67" s="12" t="s">
        <v>34</v>
      </c>
      <c r="G67" s="12" t="s">
        <v>34</v>
      </c>
      <c r="H67" s="12" t="s">
        <v>35</v>
      </c>
      <c r="I67" s="11" t="s">
        <v>236</v>
      </c>
      <c r="J67" s="12" t="s">
        <v>237</v>
      </c>
      <c r="K67" s="13" t="s">
        <v>60</v>
      </c>
      <c r="L67" s="11" t="str">
        <f>"000267"</f>
        <v>000267</v>
      </c>
      <c r="M67" s="10">
        <v>43306</v>
      </c>
      <c r="N67" s="11" t="str">
        <f>"000042"</f>
        <v>000042</v>
      </c>
      <c r="O67" s="10">
        <v>43306</v>
      </c>
      <c r="P67" s="11" t="str">
        <f>"000140"</f>
        <v>000140</v>
      </c>
      <c r="Q67" s="10">
        <v>43306</v>
      </c>
      <c r="R67" s="11"/>
      <c r="S67" s="11" t="str">
        <f>"009647"</f>
        <v>009647</v>
      </c>
      <c r="T67" s="10">
        <v>43535</v>
      </c>
      <c r="U67" s="14">
        <v>44.863509999999998</v>
      </c>
      <c r="V67" s="14">
        <v>19.863510000000002</v>
      </c>
      <c r="W67" s="14">
        <v>25</v>
      </c>
      <c r="X67" s="11">
        <v>377</v>
      </c>
      <c r="Y67" s="10">
        <v>43540</v>
      </c>
      <c r="Z67" s="11">
        <v>0</v>
      </c>
      <c r="AA67" s="12" t="s">
        <v>238</v>
      </c>
      <c r="AB67" s="11" t="s">
        <v>239</v>
      </c>
      <c r="AC67" s="12" t="s">
        <v>240</v>
      </c>
      <c r="AD67" s="11" t="s">
        <v>42</v>
      </c>
      <c r="AE67" s="12" t="s">
        <v>43</v>
      </c>
      <c r="AF67" s="14">
        <f t="shared" si="0"/>
        <v>0.44863509999999995</v>
      </c>
      <c r="AG67" s="11" t="s">
        <v>146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2019-06-13T07:40:05Z</dcterms:modified>
</cp:coreProperties>
</file>