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3" i="1" l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AF18" i="1"/>
  <c r="S18" i="1"/>
  <c r="P18" i="1"/>
  <c r="N18" i="1"/>
  <c r="L18" i="1"/>
  <c r="AF17" i="1"/>
  <c r="S17" i="1"/>
  <c r="P17" i="1"/>
  <c r="N17" i="1"/>
  <c r="L17" i="1"/>
  <c r="AF16" i="1"/>
  <c r="S16" i="1"/>
  <c r="P16" i="1"/>
  <c r="N16" i="1"/>
  <c r="L16" i="1"/>
  <c r="AF15" i="1"/>
  <c r="S15" i="1"/>
  <c r="P15" i="1"/>
  <c r="N15" i="1"/>
  <c r="L15" i="1"/>
  <c r="AF14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<sst xmlns="http://schemas.openxmlformats.org/spreadsheetml/2006/main" count="481" uniqueCount="165">
  <si>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</si>
  <si>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</si>
  <si>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</si>
  <si>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</si>
  <si>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</si>
  <si>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</si>
  <si>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</si>
  <si>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</si>
  <si>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</si>
  <si>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</si>
  <si>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</si>
  <si>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</si>
  <si>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</si>
  <si>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</si>
  <si>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</si>
  <si>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</si>
  <si>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</si>
  <si>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</si>
  <si>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</si>
  <si>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</si>
  <si>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</si>
  <si>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</si>
  <si>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</si>
  <si>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</si>
  <si>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</si>
  <si>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</si>
  <si>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</si>
  <si>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</si>
  <si>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</si>
  <si>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</si>
  <si>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</si>
  <si>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</si>
  <si>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</si>
  <si>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</si>
  <si>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Devasandra</t>
  </si>
  <si>
    <t>K R Puram</t>
  </si>
  <si>
    <t>Mahadeva Pura</t>
  </si>
  <si>
    <t>055-17-000004</t>
  </si>
  <si>
    <t>Construction of Public Utlization Building and improvement to Burrial Ground in Devasandra ward No. 55.</t>
  </si>
  <si>
    <t>Other Ward Works</t>
  </si>
  <si>
    <t xml:space="preserve">Sri M Venkatachalapathi </t>
  </si>
  <si>
    <t>P3158</t>
  </si>
  <si>
    <t>SIP Infrastructure Project works</t>
  </si>
  <si>
    <t>ddo362</t>
  </si>
  <si>
    <t xml:space="preserve"> Assistant Executive Engineer K R Pura Mahadevapura Zone</t>
  </si>
  <si>
    <t>Pending</t>
  </si>
  <si>
    <t>May</t>
  </si>
  <si>
    <t>055-16-000003</t>
  </si>
  <si>
    <t>Ward Maintenance works in Devasandra ward No55</t>
  </si>
  <si>
    <t>Nagesh G K</t>
  </si>
  <si>
    <t>P1771</t>
  </si>
  <si>
    <t>Zone Works - POW Works</t>
  </si>
  <si>
    <t>055-17-000012</t>
  </si>
  <si>
    <t>Providing Additional Streetlights to street lighting system in Devasandra ward no 55</t>
  </si>
  <si>
    <t>Footpaths &amp; Walkability</t>
  </si>
  <si>
    <t>M/s Karthik Electricals</t>
  </si>
  <si>
    <t>P2415</t>
  </si>
  <si>
    <t>Reserve fund for TandF Committee</t>
  </si>
  <si>
    <t>ddo365</t>
  </si>
  <si>
    <t xml:space="preserve"> Executive Engineer Electrical Mahadevapura Zone</t>
  </si>
  <si>
    <t>055-16-000005</t>
  </si>
  <si>
    <t>Repairs and Improvements to BBMP office building in Devasandra ward No55 (Maintenance Work)</t>
  </si>
  <si>
    <t xml:space="preserve">Nagesh G K </t>
  </si>
  <si>
    <t>055-16-000010</t>
  </si>
  <si>
    <t xml:space="preserve"> Improvements to road and drains Jararama Shetty layout in Devesandra ward No55</t>
  </si>
  <si>
    <t>Roads &amp; Drivablility</t>
  </si>
  <si>
    <t>Gopala Gowda V</t>
  </si>
  <si>
    <t>June</t>
  </si>
  <si>
    <t>055-16-000008</t>
  </si>
  <si>
    <t>Improvements to Singaiahnapalya cross 78 and 9 roads in Devasandra ward No55</t>
  </si>
  <si>
    <t>K C Veeranna</t>
  </si>
  <si>
    <t>July</t>
  </si>
  <si>
    <t>055-17-000005</t>
  </si>
  <si>
    <t>Comprehensive development of Devasandra Masjid surrounding area in devasandra ward no 55</t>
  </si>
  <si>
    <t>Sri S. Hari Prasad (MAA India Projects)</t>
  </si>
  <si>
    <t>Current</t>
  </si>
  <si>
    <t>055-15-000026</t>
  </si>
  <si>
    <t>Repairs and Maintanance of Electrical Installations in KRPura BBMP office Building in Mahadevapura Zone Ward No55</t>
  </si>
  <si>
    <t>M/s Vaishnavi Entrprises</t>
  </si>
  <si>
    <t>P0294</t>
  </si>
  <si>
    <t>M and R to Electrical Inst in BMP Buildings, Schools, M.Homes, Community Halls, Markets and Others</t>
  </si>
  <si>
    <t>August</t>
  </si>
  <si>
    <t>055-13-000020</t>
  </si>
  <si>
    <t>Improvement to mosque main Road cross Road 7th 8th 10th 11th 12th in Devasandra Ward No 55</t>
  </si>
  <si>
    <t>J V Manjunatha Reddy,</t>
  </si>
  <si>
    <t>055-16-000001</t>
  </si>
  <si>
    <t>Operation and maintanance of street light fittings in ward no 55 Devasandra Mahadevapura Zone M10</t>
  </si>
  <si>
    <t>Sri Krishna Electricals</t>
  </si>
  <si>
    <t>P0300</t>
  </si>
  <si>
    <t>M and R to Street Lights - Replacement of Burnt Bulbs etc. (Package)</t>
  </si>
  <si>
    <t>September</t>
  </si>
  <si>
    <t>055-15-000016</t>
  </si>
  <si>
    <t>Amount Reserved for street lights and electrification of Devasandra Ward no 55</t>
  </si>
  <si>
    <t>M/S KARTHIK ELECTRICAL C KANTHARAJU</t>
  </si>
  <si>
    <t>October</t>
  </si>
  <si>
    <t>055-17-000013</t>
  </si>
  <si>
    <t>Construction of drains in Dooravani cable road towards Eastern side parallel road in Signaiahna Palya in Devasandra ward No.55</t>
  </si>
  <si>
    <t>Sri Thimmegowda Rayegowda Patanahalli,</t>
  </si>
  <si>
    <t>055-16-000027</t>
  </si>
  <si>
    <t>Repairs to Anganawadi community center at Govt school premises Thriveni Nagara in Devasandra ward No.55</t>
  </si>
  <si>
    <t>Alcon Consulting Engineers (India) Pvt. Ltd.</t>
  </si>
  <si>
    <t>P3089</t>
  </si>
  <si>
    <t>Special Development works in 7 CMC and 1 TMC area in BBMP</t>
  </si>
  <si>
    <t>055-16-000029</t>
  </si>
  <si>
    <t>Construction of Indoor Stadium at B.Narayanapura in Devasandra ward No.55</t>
  </si>
  <si>
    <t>Trees, Parks &amp; Playgrounds</t>
  </si>
  <si>
    <t>055-17-000014</t>
  </si>
  <si>
    <t>Construction of drain at Anjaneya temple road in Devasandra ward No.55</t>
  </si>
  <si>
    <t>Sri. Thimmegowda Rayegowda Patanahalli,</t>
  </si>
  <si>
    <t>055-18-000020</t>
  </si>
  <si>
    <t>Re-modelling of SWD near Gangashetty lake in ward no-55</t>
  </si>
  <si>
    <t>Storm Water Drains</t>
  </si>
  <si>
    <t>B K Nagendra</t>
  </si>
  <si>
    <t>P3106</t>
  </si>
  <si>
    <t>Nagarothana Works</t>
  </si>
  <si>
    <t>ddo313</t>
  </si>
  <si>
    <t xml:space="preserve"> Chief Engineer SWD Central Zone</t>
  </si>
  <si>
    <t>Spill Over</t>
  </si>
  <si>
    <t>December</t>
  </si>
  <si>
    <t>055-18-000010</t>
  </si>
  <si>
    <t>Improvements to roads and drains at Tent road Surrounding area in ward no. 55 Devasandra.</t>
  </si>
  <si>
    <t>K N SRINIVASA</t>
  </si>
  <si>
    <t>P3332</t>
  </si>
  <si>
    <t>Special Development works at Ward No. 02,12,22,23,24,25,30,31,37, 38,40,41,42,47,49,53,55,56,59,73,77,78,81,74,87,97,102,117,118,120,121,131,134,136,140,135,147,148,152,157,170,172,176 ( 43 wards Rs.4.00 Cr. Each)</t>
  </si>
  <si>
    <t>055-18-000009</t>
  </si>
  <si>
    <t>Improvements to roads and drains at J.C.Layout Surrounding area in ward no. 55 Devasandra.</t>
  </si>
  <si>
    <t>055-18-000011</t>
  </si>
  <si>
    <t>Improvements to roads and drains at Church road Surrounding area in ward no. 55 Devasandra.</t>
  </si>
  <si>
    <t>055-18-000004</t>
  </si>
  <si>
    <t>Improvements to roads and drains at R.R.Temple road Surrounding area in ward no. 55 Devasandra.</t>
  </si>
  <si>
    <t>January</t>
  </si>
  <si>
    <t>055-18-000045</t>
  </si>
  <si>
    <t xml:space="preserve">Providing lighting arrangements to Indira Canteen at Devasandra - in Ward no.55 </t>
  </si>
  <si>
    <t>Indira Canteen</t>
  </si>
  <si>
    <t>M/S.KRIDL</t>
  </si>
  <si>
    <t>055-18-000043</t>
  </si>
  <si>
    <t xml:space="preserve">Providing chainlink fencing to Indira Canteen surrounding areas in ward no.55 Devasandra </t>
  </si>
  <si>
    <t>Karnataka Rural Infrastructure Development Limited,</t>
  </si>
  <si>
    <t>February</t>
  </si>
  <si>
    <t>055-18-000044</t>
  </si>
  <si>
    <t xml:space="preserve">Providing UPS Batteries and Electrical works for Indira Canteen in Mahadevapura Zone Ward No 55 Devasandra </t>
  </si>
  <si>
    <t>KRIDL</t>
  </si>
  <si>
    <t>055-16-000035</t>
  </si>
  <si>
    <t>Improvements to Venkateshwara Tent road in Devasandra in ward 55.</t>
  </si>
  <si>
    <t>P0190</t>
  </si>
  <si>
    <t>Works sanctioned by Hon Mayor</t>
  </si>
  <si>
    <t>055-16-000034</t>
  </si>
  <si>
    <t>Providing CC drain Himamsab house road and 15th cross road Acharibande in Devasandra ward 55</t>
  </si>
  <si>
    <t>055-16-000033</t>
  </si>
  <si>
    <t>Improvements to drain at Venkateshwara Theatre beside in Devasandra in ward 55</t>
  </si>
  <si>
    <t>055-17-000045</t>
  </si>
  <si>
    <t>Engagement of Gangman and Hiring of Tractor Tippers for cleaning and Maintenance of road side drains and other cleaning works in works in ward no 55</t>
  </si>
  <si>
    <t>V.H. Rangaswamy</t>
  </si>
  <si>
    <t>P3110</t>
  </si>
  <si>
    <t>14th Finance Commission Grant Works</t>
  </si>
  <si>
    <t>055-17-000033</t>
  </si>
  <si>
    <t>Providing water supply facilities in Devasandra ward no 55</t>
  </si>
  <si>
    <t>Water &amp; Sanitary</t>
  </si>
  <si>
    <t>Sri Anand V</t>
  </si>
  <si>
    <t>March</t>
  </si>
  <si>
    <t>055-19-000001</t>
  </si>
  <si>
    <t>Providing LED street light in ward no 55 Devasandra</t>
  </si>
  <si>
    <t>M/S Karthik Electricals Prop. Sri C. Kantharaju</t>
  </si>
  <si>
    <t>P3290</t>
  </si>
  <si>
    <t>14th Finance Commission Works - Providing Street Lights and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</si>
</sst>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3"/>
  <sheetViews>
    <sheetView tabSelected="1" workbookViewId="0">
      <pane ySplit="1" topLeftCell="A2" activePane="bottomLeft" state="frozen"/>
      <selection activeCell="H1" sqref="H1"/>
      <selection pane="bottomLeft" activeCell="A2" sqref="A2:XFD33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248</v>
      </c>
      <c r="B2" s="9" t="s">
        <v>33</v>
      </c>
      <c r="C2" s="10">
        <v>43196</v>
      </c>
      <c r="D2" s="11">
        <v>55</v>
      </c>
      <c r="E2" s="12" t="s">
        <v>34</v>
      </c>
      <c r="F2" s="12" t="s">
        <v>35</v>
      </c>
      <c r="G2" s="12" t="s">
        <v>35</v>
      </c>
      <c r="H2" s="12" t="s">
        <v>36</v>
      </c>
      <c r="I2" s="11" t="s">
        <v>37</v>
      </c>
      <c r="J2" s="12" t="s">
        <v>38</v>
      </c>
      <c r="K2" s="13" t="s">
        <v>39</v>
      </c>
      <c r="L2" s="11" t="str">
        <f>"0031"</f>
        <v>0031</v>
      </c>
      <c r="M2" s="10">
        <v>4</v>
      </c>
      <c r="N2" s="11" t="str">
        <f>"000124"</f>
        <v>000124</v>
      </c>
      <c r="O2" s="10">
        <v>43174</v>
      </c>
      <c r="P2" s="11" t="str">
        <f>"000232"</f>
        <v>000232</v>
      </c>
      <c r="Q2" s="10">
        <v>43175</v>
      </c>
      <c r="R2" s="11">
        <v>17</v>
      </c>
      <c r="S2" s="11" t="str">
        <f>"000297"</f>
        <v>000297</v>
      </c>
      <c r="T2" s="10">
        <v>43195</v>
      </c>
      <c r="U2" s="14">
        <v>15.3674</v>
      </c>
      <c r="V2" s="14">
        <v>0.54949000000000003</v>
      </c>
      <c r="W2" s="14">
        <v>14.817909999999999</v>
      </c>
      <c r="X2" s="11">
        <v>7</v>
      </c>
      <c r="Y2" s="10">
        <v>43196</v>
      </c>
      <c r="Z2" s="11">
        <v>7348901499</v>
      </c>
      <c r="AA2" s="12" t="s">
        <v>40</v>
      </c>
      <c r="AB2" s="11" t="s">
        <v>41</v>
      </c>
      <c r="AC2" s="12" t="s">
        <v>42</v>
      </c>
      <c r="AD2" s="11" t="s">
        <v>43</v>
      </c>
      <c r="AE2" s="12" t="s">
        <v>44</v>
      </c>
      <c r="AF2" s="14">
        <v>0.15367400000000001</v>
      </c>
      <c r="AG2" s="11" t="s">
        <v>45</v>
      </c>
    </row>
    <row r="3" spans="1:33" x14ac:dyDescent="0.2">
      <c r="A3" s="8">
        <v>1113</v>
      </c>
      <c r="B3" s="9" t="s">
        <v>46</v>
      </c>
      <c r="C3" s="10">
        <v>43230</v>
      </c>
      <c r="D3" s="11">
        <v>55</v>
      </c>
      <c r="E3" s="12" t="s">
        <v>34</v>
      </c>
      <c r="F3" s="12" t="s">
        <v>35</v>
      </c>
      <c r="G3" s="12" t="s">
        <v>35</v>
      </c>
      <c r="H3" s="12" t="s">
        <v>36</v>
      </c>
      <c r="I3" s="11" t="s">
        <v>47</v>
      </c>
      <c r="J3" s="12" t="s">
        <v>48</v>
      </c>
      <c r="K3" s="13" t="s">
        <v>39</v>
      </c>
      <c r="L3" s="11" t="str">
        <f>"000015"</f>
        <v>000015</v>
      </c>
      <c r="M3" s="10">
        <v>42502</v>
      </c>
      <c r="N3" s="11" t="str">
        <f>"000033"</f>
        <v>000033</v>
      </c>
      <c r="O3" s="10">
        <v>42754</v>
      </c>
      <c r="P3" s="11" t="str">
        <f>"000225"</f>
        <v>000225</v>
      </c>
      <c r="Q3" s="10">
        <v>42765</v>
      </c>
      <c r="R3" s="11">
        <v>16</v>
      </c>
      <c r="S3" s="11" t="str">
        <f>"001299"</f>
        <v>001299</v>
      </c>
      <c r="T3" s="10">
        <v>43229</v>
      </c>
      <c r="U3" s="14">
        <v>5.9439700000000002</v>
      </c>
      <c r="V3" s="14">
        <v>0.66156000000000004</v>
      </c>
      <c r="W3" s="14">
        <v>5.2824099999999996</v>
      </c>
      <c r="X3" s="11">
        <v>48</v>
      </c>
      <c r="Y3" s="10">
        <v>43230</v>
      </c>
      <c r="Z3" s="11">
        <v>9448446520</v>
      </c>
      <c r="AA3" s="12" t="s">
        <v>49</v>
      </c>
      <c r="AB3" s="11" t="s">
        <v>50</v>
      </c>
      <c r="AC3" s="12" t="s">
        <v>51</v>
      </c>
      <c r="AD3" s="11" t="s">
        <v>43</v>
      </c>
      <c r="AE3" s="12" t="s">
        <v>44</v>
      </c>
      <c r="AF3" s="14">
        <v>5.9439700000000005E-2</v>
      </c>
      <c r="AG3" s="11" t="s">
        <v>45</v>
      </c>
    </row>
    <row r="4" spans="1:33" x14ac:dyDescent="0.2">
      <c r="A4" s="8">
        <v>1114</v>
      </c>
      <c r="B4" s="9" t="s">
        <v>46</v>
      </c>
      <c r="C4" s="10">
        <v>43230</v>
      </c>
      <c r="D4" s="11">
        <v>55</v>
      </c>
      <c r="E4" s="12" t="s">
        <v>34</v>
      </c>
      <c r="F4" s="12" t="s">
        <v>35</v>
      </c>
      <c r="G4" s="12" t="s">
        <v>35</v>
      </c>
      <c r="H4" s="12" t="s">
        <v>36</v>
      </c>
      <c r="I4" s="11" t="s">
        <v>52</v>
      </c>
      <c r="J4" s="12" t="s">
        <v>53</v>
      </c>
      <c r="K4" s="13" t="s">
        <v>54</v>
      </c>
      <c r="L4" s="11" t="str">
        <f>"000028"</f>
        <v>000028</v>
      </c>
      <c r="M4" s="10">
        <v>42724</v>
      </c>
      <c r="N4" s="11" t="str">
        <f>"000122"</f>
        <v>000122</v>
      </c>
      <c r="O4" s="10">
        <v>42768</v>
      </c>
      <c r="P4" s="11" t="str">
        <f>"000092"</f>
        <v>000092</v>
      </c>
      <c r="Q4" s="10">
        <v>42769</v>
      </c>
      <c r="R4" s="11">
        <v>17</v>
      </c>
      <c r="S4" s="11" t="str">
        <f>"001308"</f>
        <v>001308</v>
      </c>
      <c r="T4" s="10">
        <v>43229</v>
      </c>
      <c r="U4" s="14">
        <v>9.5188799999999993</v>
      </c>
      <c r="V4" s="14">
        <v>1.0756399999999999</v>
      </c>
      <c r="W4" s="14">
        <v>8.4432399999999994</v>
      </c>
      <c r="X4" s="11">
        <v>48</v>
      </c>
      <c r="Y4" s="10">
        <v>43230</v>
      </c>
      <c r="Z4" s="11">
        <v>9980796171</v>
      </c>
      <c r="AA4" s="12" t="s">
        <v>55</v>
      </c>
      <c r="AB4" s="11" t="s">
        <v>56</v>
      </c>
      <c r="AC4" s="12" t="s">
        <v>57</v>
      </c>
      <c r="AD4" s="11" t="s">
        <v>58</v>
      </c>
      <c r="AE4" s="12" t="s">
        <v>59</v>
      </c>
      <c r="AF4" s="14">
        <v>9.518879999999999E-2</v>
      </c>
      <c r="AG4" s="11" t="s">
        <v>45</v>
      </c>
    </row>
    <row r="5" spans="1:33" x14ac:dyDescent="0.2">
      <c r="A5" s="8">
        <v>1420</v>
      </c>
      <c r="B5" s="9" t="s">
        <v>46</v>
      </c>
      <c r="C5" s="10">
        <v>43242</v>
      </c>
      <c r="D5" s="11">
        <v>55</v>
      </c>
      <c r="E5" s="12" t="s">
        <v>34</v>
      </c>
      <c r="F5" s="12" t="s">
        <v>35</v>
      </c>
      <c r="G5" s="12" t="s">
        <v>35</v>
      </c>
      <c r="H5" s="12" t="s">
        <v>36</v>
      </c>
      <c r="I5" s="11" t="s">
        <v>60</v>
      </c>
      <c r="J5" s="12" t="s">
        <v>61</v>
      </c>
      <c r="K5" s="13" t="s">
        <v>39</v>
      </c>
      <c r="L5" s="11" t="str">
        <f>"000009"</f>
        <v>000009</v>
      </c>
      <c r="M5" s="10">
        <v>42489</v>
      </c>
      <c r="N5" s="11" t="str">
        <f>"000053"</f>
        <v>000053</v>
      </c>
      <c r="O5" s="10">
        <v>42766</v>
      </c>
      <c r="P5" s="11" t="str">
        <f>"000291"</f>
        <v>000291</v>
      </c>
      <c r="Q5" s="10">
        <v>42816</v>
      </c>
      <c r="R5" s="11">
        <v>16</v>
      </c>
      <c r="S5" s="11" t="str">
        <f>"001687"</f>
        <v>001687</v>
      </c>
      <c r="T5" s="10">
        <v>43241</v>
      </c>
      <c r="U5" s="14">
        <v>4.3312099999999996</v>
      </c>
      <c r="V5" s="14">
        <v>0.48209999999999997</v>
      </c>
      <c r="W5" s="14">
        <v>3.84911</v>
      </c>
      <c r="X5" s="11">
        <v>58</v>
      </c>
      <c r="Y5" s="10">
        <v>43242</v>
      </c>
      <c r="Z5" s="11">
        <v>0</v>
      </c>
      <c r="AA5" s="12" t="s">
        <v>62</v>
      </c>
      <c r="AB5" s="11" t="s">
        <v>50</v>
      </c>
      <c r="AC5" s="12" t="s">
        <v>51</v>
      </c>
      <c r="AD5" s="11" t="s">
        <v>43</v>
      </c>
      <c r="AE5" s="12" t="s">
        <v>44</v>
      </c>
      <c r="AF5" s="14">
        <v>4.3312099999999992E-2</v>
      </c>
      <c r="AG5" s="11" t="s">
        <v>45</v>
      </c>
    </row>
    <row r="6" spans="1:33" x14ac:dyDescent="0.2">
      <c r="A6" s="8">
        <v>1511</v>
      </c>
      <c r="B6" s="9" t="s">
        <v>46</v>
      </c>
      <c r="C6" s="10">
        <v>43251</v>
      </c>
      <c r="D6" s="11">
        <v>55</v>
      </c>
      <c r="E6" s="12" t="s">
        <v>34</v>
      </c>
      <c r="F6" s="12" t="s">
        <v>35</v>
      </c>
      <c r="G6" s="12" t="s">
        <v>35</v>
      </c>
      <c r="H6" s="12" t="s">
        <v>36</v>
      </c>
      <c r="I6" s="11" t="s">
        <v>63</v>
      </c>
      <c r="J6" s="12" t="s">
        <v>64</v>
      </c>
      <c r="K6" s="13" t="s">
        <v>65</v>
      </c>
      <c r="L6" s="11" t="str">
        <f>"000249"</f>
        <v>000249</v>
      </c>
      <c r="M6" s="10">
        <v>42433</v>
      </c>
      <c r="N6" s="11" t="str">
        <f>"000007"</f>
        <v>000007</v>
      </c>
      <c r="O6" s="10">
        <v>42592</v>
      </c>
      <c r="P6" s="11" t="str">
        <f>"000085"</f>
        <v>000085</v>
      </c>
      <c r="Q6" s="10">
        <v>42592</v>
      </c>
      <c r="R6" s="11">
        <v>16</v>
      </c>
      <c r="S6" s="11" t="str">
        <f>"001966"</f>
        <v>001966</v>
      </c>
      <c r="T6" s="10">
        <v>43246</v>
      </c>
      <c r="U6" s="14">
        <v>20.500029999999999</v>
      </c>
      <c r="V6" s="14">
        <v>2.5526599999999999</v>
      </c>
      <c r="W6" s="14">
        <v>17.947369999999999</v>
      </c>
      <c r="X6" s="11">
        <v>67</v>
      </c>
      <c r="Y6" s="10">
        <v>43251</v>
      </c>
      <c r="Z6" s="11">
        <v>9448068447</v>
      </c>
      <c r="AA6" s="12" t="s">
        <v>66</v>
      </c>
      <c r="AB6" s="11" t="s">
        <v>50</v>
      </c>
      <c r="AC6" s="12" t="s">
        <v>51</v>
      </c>
      <c r="AD6" s="11" t="s">
        <v>43</v>
      </c>
      <c r="AE6" s="12" t="s">
        <v>44</v>
      </c>
      <c r="AF6" s="14">
        <v>0.2050003</v>
      </c>
      <c r="AG6" s="11" t="s">
        <v>45</v>
      </c>
    </row>
    <row r="7" spans="1:33" x14ac:dyDescent="0.2">
      <c r="A7" s="8">
        <v>2700</v>
      </c>
      <c r="B7" s="9" t="s">
        <v>67</v>
      </c>
      <c r="C7" s="10">
        <v>43278</v>
      </c>
      <c r="D7" s="11">
        <v>55</v>
      </c>
      <c r="E7" s="12" t="s">
        <v>34</v>
      </c>
      <c r="F7" s="12" t="s">
        <v>35</v>
      </c>
      <c r="G7" s="12" t="s">
        <v>35</v>
      </c>
      <c r="H7" s="12" t="s">
        <v>36</v>
      </c>
      <c r="I7" s="11" t="s">
        <v>68</v>
      </c>
      <c r="J7" s="12" t="s">
        <v>69</v>
      </c>
      <c r="K7" s="13" t="s">
        <v>65</v>
      </c>
      <c r="L7" s="11" t="str">
        <f>"000233"</f>
        <v>000233</v>
      </c>
      <c r="M7" s="10">
        <v>42415</v>
      </c>
      <c r="N7" s="11" t="str">
        <f>"000023"</f>
        <v>000023</v>
      </c>
      <c r="O7" s="10">
        <v>42660</v>
      </c>
      <c r="P7" s="11" t="str">
        <f>"000168"</f>
        <v>000168</v>
      </c>
      <c r="Q7" s="10">
        <v>42660</v>
      </c>
      <c r="R7" s="11">
        <v>16</v>
      </c>
      <c r="S7" s="11" t="str">
        <f>"003040"</f>
        <v>003040</v>
      </c>
      <c r="T7" s="10">
        <v>43277</v>
      </c>
      <c r="U7" s="14">
        <v>19.559080000000002</v>
      </c>
      <c r="V7" s="14">
        <v>2.6706300000000001</v>
      </c>
      <c r="W7" s="14">
        <v>16.888449999999999</v>
      </c>
      <c r="X7" s="11">
        <v>103</v>
      </c>
      <c r="Y7" s="10">
        <v>43278</v>
      </c>
      <c r="Z7" s="11">
        <v>9916117205</v>
      </c>
      <c r="AA7" s="12" t="s">
        <v>70</v>
      </c>
      <c r="AB7" s="11" t="s">
        <v>50</v>
      </c>
      <c r="AC7" s="12" t="s">
        <v>51</v>
      </c>
      <c r="AD7" s="11" t="s">
        <v>43</v>
      </c>
      <c r="AE7" s="12" t="s">
        <v>44</v>
      </c>
      <c r="AF7" s="14">
        <v>0.19559080000000001</v>
      </c>
      <c r="AG7" s="11" t="s">
        <v>45</v>
      </c>
    </row>
    <row r="8" spans="1:33" x14ac:dyDescent="0.2">
      <c r="A8" s="8">
        <v>3057</v>
      </c>
      <c r="B8" s="9" t="s">
        <v>71</v>
      </c>
      <c r="C8" s="10">
        <v>43287</v>
      </c>
      <c r="D8" s="11">
        <v>55</v>
      </c>
      <c r="E8" s="12" t="s">
        <v>34</v>
      </c>
      <c r="F8" s="12" t="s">
        <v>35</v>
      </c>
      <c r="G8" s="12" t="s">
        <v>35</v>
      </c>
      <c r="H8" s="12" t="s">
        <v>36</v>
      </c>
      <c r="I8" s="11" t="s">
        <v>72</v>
      </c>
      <c r="J8" s="12" t="s">
        <v>73</v>
      </c>
      <c r="K8" s="13" t="s">
        <v>39</v>
      </c>
      <c r="L8" s="11" t="str">
        <f>"000027"</f>
        <v>000027</v>
      </c>
      <c r="M8" s="10">
        <v>43245</v>
      </c>
      <c r="N8" s="11" t="str">
        <f>"000015"</f>
        <v>000015</v>
      </c>
      <c r="O8" s="10">
        <v>43245</v>
      </c>
      <c r="P8" s="11" t="str">
        <f>"000059"</f>
        <v>000059</v>
      </c>
      <c r="Q8" s="10">
        <v>43245</v>
      </c>
      <c r="R8" s="11">
        <v>17</v>
      </c>
      <c r="S8" s="11" t="str">
        <f>"003221"</f>
        <v>003221</v>
      </c>
      <c r="T8" s="10">
        <v>43283</v>
      </c>
      <c r="U8" s="14">
        <v>80.332909999999998</v>
      </c>
      <c r="V8" s="14">
        <v>5.8998400000000002</v>
      </c>
      <c r="W8" s="14">
        <v>74.433070000000001</v>
      </c>
      <c r="X8" s="11">
        <v>116</v>
      </c>
      <c r="Y8" s="10">
        <v>43287</v>
      </c>
      <c r="Z8" s="11">
        <v>9972232340</v>
      </c>
      <c r="AA8" s="12" t="s">
        <v>74</v>
      </c>
      <c r="AB8" s="11" t="s">
        <v>41</v>
      </c>
      <c r="AC8" s="12" t="s">
        <v>42</v>
      </c>
      <c r="AD8" s="11" t="s">
        <v>43</v>
      </c>
      <c r="AE8" s="12" t="s">
        <v>44</v>
      </c>
      <c r="AF8" s="14">
        <v>0.80332910000000002</v>
      </c>
      <c r="AG8" s="11" t="s">
        <v>75</v>
      </c>
    </row>
    <row r="9" spans="1:33" x14ac:dyDescent="0.2">
      <c r="A9" s="8">
        <v>3480</v>
      </c>
      <c r="B9" s="9" t="s">
        <v>71</v>
      </c>
      <c r="C9" s="10">
        <v>43299</v>
      </c>
      <c r="D9" s="11">
        <v>55</v>
      </c>
      <c r="E9" s="12" t="s">
        <v>34</v>
      </c>
      <c r="F9" s="12" t="s">
        <v>35</v>
      </c>
      <c r="G9" s="12" t="s">
        <v>35</v>
      </c>
      <c r="H9" s="12" t="s">
        <v>36</v>
      </c>
      <c r="I9" s="11" t="s">
        <v>76</v>
      </c>
      <c r="J9" s="12" t="s">
        <v>77</v>
      </c>
      <c r="K9" s="13" t="s">
        <v>39</v>
      </c>
      <c r="L9" s="11" t="str">
        <f>"000017"</f>
        <v>000017</v>
      </c>
      <c r="M9" s="10">
        <v>42950</v>
      </c>
      <c r="N9" s="11" t="str">
        <f>"000019"</f>
        <v>000019</v>
      </c>
      <c r="O9" s="10">
        <v>42950</v>
      </c>
      <c r="P9" s="11" t="str">
        <f>"000019"</f>
        <v>000019</v>
      </c>
      <c r="Q9" s="10">
        <v>42950</v>
      </c>
      <c r="R9" s="11">
        <v>15</v>
      </c>
      <c r="S9" s="11" t="str">
        <f>"003485"</f>
        <v>003485</v>
      </c>
      <c r="T9" s="10">
        <v>43291</v>
      </c>
      <c r="U9" s="14">
        <v>1.014</v>
      </c>
      <c r="V9" s="14">
        <v>0.123</v>
      </c>
      <c r="W9" s="14">
        <v>0.89100000000000001</v>
      </c>
      <c r="X9" s="11">
        <v>127</v>
      </c>
      <c r="Y9" s="10">
        <v>43299</v>
      </c>
      <c r="Z9" s="11">
        <v>9342541594</v>
      </c>
      <c r="AA9" s="12" t="s">
        <v>78</v>
      </c>
      <c r="AB9" s="11" t="s">
        <v>79</v>
      </c>
      <c r="AC9" s="12" t="s">
        <v>80</v>
      </c>
      <c r="AD9" s="11" t="s">
        <v>58</v>
      </c>
      <c r="AE9" s="12" t="s">
        <v>59</v>
      </c>
      <c r="AF9" s="14">
        <v>1.014E-2</v>
      </c>
      <c r="AG9" s="11" t="s">
        <v>45</v>
      </c>
    </row>
    <row r="10" spans="1:33" x14ac:dyDescent="0.2">
      <c r="A10" s="8">
        <v>4275</v>
      </c>
      <c r="B10" s="9" t="s">
        <v>81</v>
      </c>
      <c r="C10" s="10">
        <v>43315</v>
      </c>
      <c r="D10" s="11">
        <v>55</v>
      </c>
      <c r="E10" s="12" t="s">
        <v>34</v>
      </c>
      <c r="F10" s="12" t="s">
        <v>35</v>
      </c>
      <c r="G10" s="12" t="s">
        <v>35</v>
      </c>
      <c r="H10" s="12" t="s">
        <v>36</v>
      </c>
      <c r="I10" s="11" t="s">
        <v>82</v>
      </c>
      <c r="J10" s="12" t="s">
        <v>83</v>
      </c>
      <c r="K10" s="13" t="s">
        <v>39</v>
      </c>
      <c r="L10" s="11" t="str">
        <f>"000478"</f>
        <v>000478</v>
      </c>
      <c r="M10" s="10">
        <v>41338</v>
      </c>
      <c r="N10" s="11" t="str">
        <f>"000084"</f>
        <v>000084</v>
      </c>
      <c r="O10" s="10">
        <v>42307</v>
      </c>
      <c r="P10" s="11" t="str">
        <f>"000413"</f>
        <v>000413</v>
      </c>
      <c r="Q10" s="10">
        <v>42307</v>
      </c>
      <c r="R10" s="11">
        <v>13</v>
      </c>
      <c r="S10" s="11" t="str">
        <f>"003752"</f>
        <v>003752</v>
      </c>
      <c r="T10" s="10">
        <v>42926</v>
      </c>
      <c r="U10" s="14">
        <v>7.9443200000000003</v>
      </c>
      <c r="V10" s="14">
        <v>1.17191</v>
      </c>
      <c r="W10" s="14">
        <v>6.7724099999999998</v>
      </c>
      <c r="X10" s="11">
        <v>152</v>
      </c>
      <c r="Y10" s="10">
        <v>43315</v>
      </c>
      <c r="Z10" s="11">
        <v>9964121710</v>
      </c>
      <c r="AA10" s="12" t="s">
        <v>84</v>
      </c>
      <c r="AB10" s="11" t="s">
        <v>50</v>
      </c>
      <c r="AC10" s="12" t="s">
        <v>51</v>
      </c>
      <c r="AD10" s="11" t="s">
        <v>43</v>
      </c>
      <c r="AE10" s="12" t="s">
        <v>44</v>
      </c>
      <c r="AF10" s="14">
        <v>7.9443200000000005E-2</v>
      </c>
      <c r="AG10" s="11" t="s">
        <v>45</v>
      </c>
    </row>
    <row r="11" spans="1:33" x14ac:dyDescent="0.2">
      <c r="A11" s="8">
        <v>4432</v>
      </c>
      <c r="B11" s="9" t="s">
        <v>81</v>
      </c>
      <c r="C11" s="10">
        <v>43318</v>
      </c>
      <c r="D11" s="11">
        <v>55</v>
      </c>
      <c r="E11" s="12" t="s">
        <v>34</v>
      </c>
      <c r="F11" s="12" t="s">
        <v>35</v>
      </c>
      <c r="G11" s="12" t="s">
        <v>35</v>
      </c>
      <c r="H11" s="12" t="s">
        <v>36</v>
      </c>
      <c r="I11" s="11" t="s">
        <v>85</v>
      </c>
      <c r="J11" s="12" t="s">
        <v>86</v>
      </c>
      <c r="K11" s="13" t="s">
        <v>54</v>
      </c>
      <c r="L11" s="11" t="str">
        <f>"000003"</f>
        <v>000003</v>
      </c>
      <c r="M11" s="10">
        <v>43025</v>
      </c>
      <c r="N11" s="11" t="str">
        <f>"000007"</f>
        <v>000007</v>
      </c>
      <c r="O11" s="10">
        <v>42825</v>
      </c>
      <c r="P11" s="11" t="str">
        <f>"000007"</f>
        <v>000007</v>
      </c>
      <c r="Q11" s="10">
        <v>42825</v>
      </c>
      <c r="R11" s="11">
        <v>16</v>
      </c>
      <c r="S11" s="11" t="str">
        <f>""</f>
        <v/>
      </c>
      <c r="T11" s="10"/>
      <c r="U11" s="14">
        <v>4.2344799999999996</v>
      </c>
      <c r="V11" s="14">
        <v>0.51863000000000004</v>
      </c>
      <c r="W11" s="14">
        <v>3.7158500000000001</v>
      </c>
      <c r="X11" s="11">
        <v>157</v>
      </c>
      <c r="Y11" s="10">
        <v>43318</v>
      </c>
      <c r="Z11" s="11">
        <v>9036610599</v>
      </c>
      <c r="AA11" s="12" t="s">
        <v>87</v>
      </c>
      <c r="AB11" s="11" t="s">
        <v>88</v>
      </c>
      <c r="AC11" s="12" t="s">
        <v>89</v>
      </c>
      <c r="AD11" s="11" t="s">
        <v>58</v>
      </c>
      <c r="AE11" s="12" t="s">
        <v>59</v>
      </c>
      <c r="AF11" s="14">
        <v>4.2344799999999995E-2</v>
      </c>
      <c r="AG11" s="11" t="s">
        <v>45</v>
      </c>
    </row>
    <row r="12" spans="1:33" x14ac:dyDescent="0.2">
      <c r="A12" s="8">
        <v>4433</v>
      </c>
      <c r="B12" s="9" t="s">
        <v>81</v>
      </c>
      <c r="C12" s="10">
        <v>43318</v>
      </c>
      <c r="D12" s="11">
        <v>55</v>
      </c>
      <c r="E12" s="12" t="s">
        <v>34</v>
      </c>
      <c r="F12" s="12" t="s">
        <v>35</v>
      </c>
      <c r="G12" s="12" t="s">
        <v>35</v>
      </c>
      <c r="H12" s="12" t="s">
        <v>36</v>
      </c>
      <c r="I12" s="11" t="s">
        <v>85</v>
      </c>
      <c r="J12" s="12" t="s">
        <v>86</v>
      </c>
      <c r="K12" s="13" t="s">
        <v>54</v>
      </c>
      <c r="L12" s="11" t="str">
        <f>"000003"</f>
        <v>000003</v>
      </c>
      <c r="M12" s="10">
        <v>43025</v>
      </c>
      <c r="N12" s="11" t="str">
        <f>"000007"</f>
        <v>000007</v>
      </c>
      <c r="O12" s="10">
        <v>42825</v>
      </c>
      <c r="P12" s="11" t="str">
        <f>"000007"</f>
        <v>000007</v>
      </c>
      <c r="Q12" s="10">
        <v>42825</v>
      </c>
      <c r="R12" s="11">
        <v>16</v>
      </c>
      <c r="S12" s="11" t="str">
        <f>""</f>
        <v/>
      </c>
      <c r="T12" s="10"/>
      <c r="U12" s="14">
        <v>3.9627400000000002</v>
      </c>
      <c r="V12" s="14">
        <v>0.48668</v>
      </c>
      <c r="W12" s="14">
        <v>3.4760599999999999</v>
      </c>
      <c r="X12" s="11">
        <v>157</v>
      </c>
      <c r="Y12" s="10">
        <v>43318</v>
      </c>
      <c r="Z12" s="11">
        <v>9036610599</v>
      </c>
      <c r="AA12" s="12" t="s">
        <v>87</v>
      </c>
      <c r="AB12" s="11" t="s">
        <v>88</v>
      </c>
      <c r="AC12" s="12" t="s">
        <v>89</v>
      </c>
      <c r="AD12" s="11" t="s">
        <v>58</v>
      </c>
      <c r="AE12" s="12" t="s">
        <v>59</v>
      </c>
      <c r="AF12" s="14">
        <v>3.96274E-2</v>
      </c>
      <c r="AG12" s="11" t="s">
        <v>45</v>
      </c>
    </row>
    <row r="13" spans="1:33" x14ac:dyDescent="0.2">
      <c r="A13" s="8">
        <v>5091</v>
      </c>
      <c r="B13" s="9" t="s">
        <v>81</v>
      </c>
      <c r="C13" s="10">
        <v>43337</v>
      </c>
      <c r="D13" s="11">
        <v>55</v>
      </c>
      <c r="E13" s="12" t="s">
        <v>34</v>
      </c>
      <c r="F13" s="12" t="s">
        <v>35</v>
      </c>
      <c r="G13" s="12" t="s">
        <v>35</v>
      </c>
      <c r="H13" s="12" t="s">
        <v>36</v>
      </c>
      <c r="I13" s="11" t="s">
        <v>85</v>
      </c>
      <c r="J13" s="12" t="s">
        <v>86</v>
      </c>
      <c r="K13" s="13" t="s">
        <v>54</v>
      </c>
      <c r="L13" s="11" t="str">
        <f>"000003"</f>
        <v>000003</v>
      </c>
      <c r="M13" s="10">
        <v>43025</v>
      </c>
      <c r="N13" s="11" t="str">
        <f>"000007"</f>
        <v>000007</v>
      </c>
      <c r="O13" s="10">
        <v>42825</v>
      </c>
      <c r="P13" s="11" t="str">
        <f>"000007"</f>
        <v>000007</v>
      </c>
      <c r="Q13" s="10">
        <v>42825</v>
      </c>
      <c r="R13" s="11">
        <v>16</v>
      </c>
      <c r="S13" s="11" t="str">
        <f>""</f>
        <v/>
      </c>
      <c r="T13" s="10"/>
      <c r="U13" s="14">
        <v>2.0068999999999999</v>
      </c>
      <c r="V13" s="14">
        <v>0.24943000000000001</v>
      </c>
      <c r="W13" s="14">
        <v>1.7574700000000001</v>
      </c>
      <c r="X13" s="11">
        <v>180</v>
      </c>
      <c r="Y13" s="10">
        <v>43337</v>
      </c>
      <c r="Z13" s="11">
        <v>9036610599</v>
      </c>
      <c r="AA13" s="12" t="s">
        <v>87</v>
      </c>
      <c r="AB13" s="11" t="s">
        <v>88</v>
      </c>
      <c r="AC13" s="12" t="s">
        <v>89</v>
      </c>
      <c r="AD13" s="11" t="s">
        <v>58</v>
      </c>
      <c r="AE13" s="12" t="s">
        <v>59</v>
      </c>
      <c r="AF13" s="14">
        <v>2.0069E-2</v>
      </c>
      <c r="AG13" s="11" t="s">
        <v>45</v>
      </c>
    </row>
    <row r="14" spans="1:33" x14ac:dyDescent="0.2">
      <c r="A14" s="8">
        <v>5221</v>
      </c>
      <c r="B14" s="9" t="s">
        <v>90</v>
      </c>
      <c r="C14" s="10">
        <v>43346</v>
      </c>
      <c r="D14" s="11">
        <v>55</v>
      </c>
      <c r="E14" s="12" t="s">
        <v>34</v>
      </c>
      <c r="F14" s="12" t="s">
        <v>35</v>
      </c>
      <c r="G14" s="12" t="s">
        <v>35</v>
      </c>
      <c r="H14" s="12" t="s">
        <v>36</v>
      </c>
      <c r="I14" s="11" t="s">
        <v>91</v>
      </c>
      <c r="J14" s="12" t="s">
        <v>92</v>
      </c>
      <c r="K14" s="13" t="s">
        <v>54</v>
      </c>
      <c r="L14" s="11" t="str">
        <f>"000015"</f>
        <v>000015</v>
      </c>
      <c r="M14" s="10">
        <v>42914</v>
      </c>
      <c r="N14" s="11" t="str">
        <f>"000035"</f>
        <v>000035</v>
      </c>
      <c r="O14" s="10">
        <v>42916</v>
      </c>
      <c r="P14" s="11" t="str">
        <f>"000042"</f>
        <v>000042</v>
      </c>
      <c r="Q14" s="10">
        <v>42916</v>
      </c>
      <c r="R14" s="11">
        <v>15</v>
      </c>
      <c r="S14" s="11" t="str">
        <f>"005506"</f>
        <v>005506</v>
      </c>
      <c r="T14" s="10">
        <v>43341</v>
      </c>
      <c r="U14" s="14">
        <v>9.8879199999999994</v>
      </c>
      <c r="V14" s="14">
        <v>1.1994100000000001</v>
      </c>
      <c r="W14" s="14">
        <v>8.6885100000000008</v>
      </c>
      <c r="X14" s="11">
        <v>189</v>
      </c>
      <c r="Y14" s="10">
        <v>43346</v>
      </c>
      <c r="Z14" s="11">
        <v>9980796171</v>
      </c>
      <c r="AA14" s="12" t="s">
        <v>93</v>
      </c>
      <c r="AB14" s="11" t="s">
        <v>50</v>
      </c>
      <c r="AC14" s="12" t="s">
        <v>51</v>
      </c>
      <c r="AD14" s="11" t="s">
        <v>58</v>
      </c>
      <c r="AE14" s="12" t="s">
        <v>59</v>
      </c>
      <c r="AF14" s="14">
        <f t="shared" ref="AF14:AF33" si="0">U14/100</f>
        <v>9.88792E-2</v>
      </c>
      <c r="AG14" s="11" t="s">
        <v>45</v>
      </c>
    </row>
    <row r="15" spans="1:33" x14ac:dyDescent="0.2">
      <c r="A15" s="8">
        <v>6039</v>
      </c>
      <c r="B15" s="9" t="s">
        <v>94</v>
      </c>
      <c r="C15" s="10">
        <v>43385</v>
      </c>
      <c r="D15" s="11">
        <v>55</v>
      </c>
      <c r="E15" s="12" t="s">
        <v>34</v>
      </c>
      <c r="F15" s="12" t="s">
        <v>35</v>
      </c>
      <c r="G15" s="12" t="s">
        <v>35</v>
      </c>
      <c r="H15" s="12" t="s">
        <v>36</v>
      </c>
      <c r="I15" s="11" t="s">
        <v>95</v>
      </c>
      <c r="J15" s="12" t="s">
        <v>96</v>
      </c>
      <c r="K15" s="13" t="s">
        <v>54</v>
      </c>
      <c r="L15" s="11" t="str">
        <f>"000077"</f>
        <v>000077</v>
      </c>
      <c r="M15" s="10">
        <v>43274</v>
      </c>
      <c r="N15" s="11" t="str">
        <f>"000021"</f>
        <v>000021</v>
      </c>
      <c r="O15" s="10">
        <v>43274</v>
      </c>
      <c r="P15" s="11" t="str">
        <f>"000103"</f>
        <v>000103</v>
      </c>
      <c r="Q15" s="10">
        <v>43274</v>
      </c>
      <c r="R15" s="11">
        <v>17</v>
      </c>
      <c r="S15" s="11" t="str">
        <f>"006189"</f>
        <v>006189</v>
      </c>
      <c r="T15" s="10">
        <v>43377</v>
      </c>
      <c r="U15" s="14">
        <v>66.903620000000004</v>
      </c>
      <c r="V15" s="14">
        <v>4.9389399999999997</v>
      </c>
      <c r="W15" s="14">
        <v>61.964680000000001</v>
      </c>
      <c r="X15" s="11">
        <v>227</v>
      </c>
      <c r="Y15" s="10">
        <v>43385</v>
      </c>
      <c r="Z15" s="11">
        <v>9845720052</v>
      </c>
      <c r="AA15" s="12" t="s">
        <v>97</v>
      </c>
      <c r="AB15" s="11" t="s">
        <v>41</v>
      </c>
      <c r="AC15" s="12" t="s">
        <v>42</v>
      </c>
      <c r="AD15" s="11" t="s">
        <v>43</v>
      </c>
      <c r="AE15" s="12" t="s">
        <v>44</v>
      </c>
      <c r="AF15" s="14">
        <f t="shared" si="0"/>
        <v>0.66903620000000008</v>
      </c>
      <c r="AG15" s="11" t="s">
        <v>75</v>
      </c>
    </row>
    <row r="16" spans="1:33" x14ac:dyDescent="0.2">
      <c r="A16" s="8">
        <v>6040</v>
      </c>
      <c r="B16" s="9" t="s">
        <v>94</v>
      </c>
      <c r="C16" s="10">
        <v>43385</v>
      </c>
      <c r="D16" s="11">
        <v>55</v>
      </c>
      <c r="E16" s="12" t="s">
        <v>34</v>
      </c>
      <c r="F16" s="12" t="s">
        <v>35</v>
      </c>
      <c r="G16" s="12" t="s">
        <v>35</v>
      </c>
      <c r="H16" s="12" t="s">
        <v>36</v>
      </c>
      <c r="I16" s="11" t="s">
        <v>95</v>
      </c>
      <c r="J16" s="12" t="s">
        <v>96</v>
      </c>
      <c r="K16" s="13" t="s">
        <v>54</v>
      </c>
      <c r="L16" s="11" t="str">
        <f>"000077"</f>
        <v>000077</v>
      </c>
      <c r="M16" s="10">
        <v>43274</v>
      </c>
      <c r="N16" s="11" t="str">
        <f>"000021"</f>
        <v>000021</v>
      </c>
      <c r="O16" s="10">
        <v>43274</v>
      </c>
      <c r="P16" s="11" t="str">
        <f>"000103"</f>
        <v>000103</v>
      </c>
      <c r="Q16" s="10">
        <v>43274</v>
      </c>
      <c r="R16" s="11">
        <v>17</v>
      </c>
      <c r="S16" s="11" t="str">
        <f>"006189"</f>
        <v>006189</v>
      </c>
      <c r="T16" s="10">
        <v>43377</v>
      </c>
      <c r="U16" s="14">
        <v>66.903620000000004</v>
      </c>
      <c r="V16" s="14">
        <v>4.9389399999999997</v>
      </c>
      <c r="W16" s="14">
        <v>61.964680000000001</v>
      </c>
      <c r="X16" s="11">
        <v>227</v>
      </c>
      <c r="Y16" s="10">
        <v>43385</v>
      </c>
      <c r="Z16" s="11">
        <v>9845720052</v>
      </c>
      <c r="AA16" s="12" t="s">
        <v>97</v>
      </c>
      <c r="AB16" s="11" t="s">
        <v>41</v>
      </c>
      <c r="AC16" s="12" t="s">
        <v>42</v>
      </c>
      <c r="AD16" s="11" t="s">
        <v>43</v>
      </c>
      <c r="AE16" s="12" t="s">
        <v>44</v>
      </c>
      <c r="AF16" s="14">
        <f t="shared" si="0"/>
        <v>0.66903620000000008</v>
      </c>
      <c r="AG16" s="11" t="s">
        <v>75</v>
      </c>
    </row>
    <row r="17" spans="1:33" x14ac:dyDescent="0.2">
      <c r="A17" s="8">
        <v>6041</v>
      </c>
      <c r="B17" s="9" t="s">
        <v>94</v>
      </c>
      <c r="C17" s="10">
        <v>43385</v>
      </c>
      <c r="D17" s="11">
        <v>55</v>
      </c>
      <c r="E17" s="12" t="s">
        <v>34</v>
      </c>
      <c r="F17" s="12" t="s">
        <v>35</v>
      </c>
      <c r="G17" s="12" t="s">
        <v>35</v>
      </c>
      <c r="H17" s="12" t="s">
        <v>36</v>
      </c>
      <c r="I17" s="11" t="s">
        <v>98</v>
      </c>
      <c r="J17" s="12" t="s">
        <v>99</v>
      </c>
      <c r="K17" s="13" t="s">
        <v>39</v>
      </c>
      <c r="L17" s="11" t="str">
        <f>"0052"</f>
        <v>0052</v>
      </c>
      <c r="M17" s="10">
        <v>2</v>
      </c>
      <c r="N17" s="11" t="str">
        <f>"000108"</f>
        <v>000108</v>
      </c>
      <c r="O17" s="10">
        <v>43132</v>
      </c>
      <c r="P17" s="11" t="str">
        <f>"000183"</f>
        <v>000183</v>
      </c>
      <c r="Q17" s="10">
        <v>43132</v>
      </c>
      <c r="R17" s="11">
        <v>16</v>
      </c>
      <c r="S17" s="11" t="str">
        <f>"010829"</f>
        <v>010829</v>
      </c>
      <c r="T17" s="10">
        <v>43183</v>
      </c>
      <c r="U17" s="14">
        <v>1.486E-2</v>
      </c>
      <c r="V17" s="14">
        <v>1.49E-3</v>
      </c>
      <c r="W17" s="14">
        <v>1.337E-2</v>
      </c>
      <c r="X17" s="11">
        <v>234</v>
      </c>
      <c r="Y17" s="10">
        <v>43385</v>
      </c>
      <c r="Z17" s="11">
        <v>9844004676</v>
      </c>
      <c r="AA17" s="12" t="s">
        <v>100</v>
      </c>
      <c r="AB17" s="11" t="s">
        <v>101</v>
      </c>
      <c r="AC17" s="12" t="s">
        <v>102</v>
      </c>
      <c r="AD17" s="11" t="s">
        <v>43</v>
      </c>
      <c r="AE17" s="12" t="s">
        <v>44</v>
      </c>
      <c r="AF17" s="14">
        <f t="shared" si="0"/>
        <v>1.4860000000000001E-4</v>
      </c>
      <c r="AG17" s="11" t="s">
        <v>45</v>
      </c>
    </row>
    <row r="18" spans="1:33" x14ac:dyDescent="0.2">
      <c r="A18" s="8">
        <v>6042</v>
      </c>
      <c r="B18" s="9" t="s">
        <v>94</v>
      </c>
      <c r="C18" s="10">
        <v>43385</v>
      </c>
      <c r="D18" s="11">
        <v>55</v>
      </c>
      <c r="E18" s="12" t="s">
        <v>34</v>
      </c>
      <c r="F18" s="12" t="s">
        <v>35</v>
      </c>
      <c r="G18" s="12" t="s">
        <v>35</v>
      </c>
      <c r="H18" s="12" t="s">
        <v>36</v>
      </c>
      <c r="I18" s="11" t="s">
        <v>103</v>
      </c>
      <c r="J18" s="12" t="s">
        <v>104</v>
      </c>
      <c r="K18" s="13" t="s">
        <v>105</v>
      </c>
      <c r="L18" s="11" t="str">
        <f>"0053"</f>
        <v>0053</v>
      </c>
      <c r="M18" s="10">
        <v>1</v>
      </c>
      <c r="N18" s="11" t="str">
        <f>"000107"</f>
        <v>000107</v>
      </c>
      <c r="O18" s="10">
        <v>43132</v>
      </c>
      <c r="P18" s="11" t="str">
        <f>"000184"</f>
        <v>000184</v>
      </c>
      <c r="Q18" s="10">
        <v>43132</v>
      </c>
      <c r="R18" s="11">
        <v>16</v>
      </c>
      <c r="S18" s="11" t="str">
        <f>"010828"</f>
        <v>010828</v>
      </c>
      <c r="T18" s="10">
        <v>43183</v>
      </c>
      <c r="U18" s="14">
        <v>0.56684000000000001</v>
      </c>
      <c r="V18" s="14">
        <v>5.6689999999999997E-2</v>
      </c>
      <c r="W18" s="14">
        <v>0.51014999999999999</v>
      </c>
      <c r="X18" s="11">
        <v>234</v>
      </c>
      <c r="Y18" s="10">
        <v>43385</v>
      </c>
      <c r="Z18" s="11">
        <v>9844004676</v>
      </c>
      <c r="AA18" s="12" t="s">
        <v>100</v>
      </c>
      <c r="AB18" s="11" t="s">
        <v>101</v>
      </c>
      <c r="AC18" s="12" t="s">
        <v>102</v>
      </c>
      <c r="AD18" s="11" t="s">
        <v>43</v>
      </c>
      <c r="AE18" s="12" t="s">
        <v>44</v>
      </c>
      <c r="AF18" s="14">
        <f t="shared" si="0"/>
        <v>5.6684000000000005E-3</v>
      </c>
      <c r="AG18" s="11" t="s">
        <v>45</v>
      </c>
    </row>
    <row r="19" spans="1:33" x14ac:dyDescent="0.2">
      <c r="A19" s="8">
        <v>6043</v>
      </c>
      <c r="B19" s="9" t="s">
        <v>94</v>
      </c>
      <c r="C19" s="10">
        <v>43385</v>
      </c>
      <c r="D19" s="11">
        <v>55</v>
      </c>
      <c r="E19" s="12" t="s">
        <v>34</v>
      </c>
      <c r="F19" s="12" t="s">
        <v>35</v>
      </c>
      <c r="G19" s="12" t="s">
        <v>35</v>
      </c>
      <c r="H19" s="12" t="s">
        <v>36</v>
      </c>
      <c r="I19" s="11" t="s">
        <v>106</v>
      </c>
      <c r="J19" s="12" t="s">
        <v>107</v>
      </c>
      <c r="K19" s="13" t="s">
        <v>54</v>
      </c>
      <c r="L19" s="11" t="str">
        <f>"000078"</f>
        <v>000078</v>
      </c>
      <c r="M19" s="10">
        <v>43335</v>
      </c>
      <c r="N19" s="11" t="str">
        <f>"000057"</f>
        <v>000057</v>
      </c>
      <c r="O19" s="10">
        <v>43335</v>
      </c>
      <c r="P19" s="11" t="str">
        <f>"000162"</f>
        <v>000162</v>
      </c>
      <c r="Q19" s="10">
        <v>43335</v>
      </c>
      <c r="R19" s="11">
        <v>17</v>
      </c>
      <c r="S19" s="11" t="str">
        <f>"006610"</f>
        <v>006610</v>
      </c>
      <c r="T19" s="10">
        <v>43384</v>
      </c>
      <c r="U19" s="14">
        <v>18.82554</v>
      </c>
      <c r="V19" s="14">
        <v>1.4250799999999999</v>
      </c>
      <c r="W19" s="14">
        <v>17.400459999999999</v>
      </c>
      <c r="X19" s="11">
        <v>234</v>
      </c>
      <c r="Y19" s="10">
        <v>43385</v>
      </c>
      <c r="Z19" s="11">
        <v>0</v>
      </c>
      <c r="AA19" s="12" t="s">
        <v>108</v>
      </c>
      <c r="AB19" s="11" t="s">
        <v>41</v>
      </c>
      <c r="AC19" s="12" t="s">
        <v>42</v>
      </c>
      <c r="AD19" s="11" t="s">
        <v>43</v>
      </c>
      <c r="AE19" s="12" t="s">
        <v>44</v>
      </c>
      <c r="AF19" s="14">
        <f t="shared" si="0"/>
        <v>0.18825539999999999</v>
      </c>
      <c r="AG19" s="11" t="s">
        <v>75</v>
      </c>
    </row>
    <row r="20" spans="1:33" x14ac:dyDescent="0.2">
      <c r="A20" s="8">
        <v>6926</v>
      </c>
      <c r="B20" s="9" t="s">
        <v>94</v>
      </c>
      <c r="C20" s="10">
        <v>43402</v>
      </c>
      <c r="D20" s="11">
        <v>55</v>
      </c>
      <c r="E20" s="12" t="s">
        <v>34</v>
      </c>
      <c r="F20" s="12" t="s">
        <v>35</v>
      </c>
      <c r="G20" s="12" t="s">
        <v>35</v>
      </c>
      <c r="H20" s="12" t="s">
        <v>36</v>
      </c>
      <c r="I20" s="11" t="s">
        <v>109</v>
      </c>
      <c r="J20" s="12" t="s">
        <v>110</v>
      </c>
      <c r="K20" s="13" t="s">
        <v>111</v>
      </c>
      <c r="L20" s="11" t="str">
        <f>"000010"</f>
        <v>000010</v>
      </c>
      <c r="M20" s="10">
        <v>43160</v>
      </c>
      <c r="N20" s="11" t="str">
        <f>"000015"</f>
        <v>000015</v>
      </c>
      <c r="O20" s="10">
        <v>43390</v>
      </c>
      <c r="P20" s="11" t="str">
        <f>"000191"</f>
        <v>000191</v>
      </c>
      <c r="Q20" s="10">
        <v>43390</v>
      </c>
      <c r="R20" s="11">
        <v>18</v>
      </c>
      <c r="S20" s="11" t="str">
        <f>"007088"</f>
        <v>007088</v>
      </c>
      <c r="T20" s="10">
        <v>43400</v>
      </c>
      <c r="U20" s="14">
        <v>18.385000000000002</v>
      </c>
      <c r="V20" s="14">
        <v>0.86299999999999999</v>
      </c>
      <c r="W20" s="14">
        <v>17.521999999999998</v>
      </c>
      <c r="X20" s="11">
        <v>252</v>
      </c>
      <c r="Y20" s="10">
        <v>43402</v>
      </c>
      <c r="Z20" s="11">
        <v>9535030380</v>
      </c>
      <c r="AA20" s="12" t="s">
        <v>112</v>
      </c>
      <c r="AB20" s="11" t="s">
        <v>113</v>
      </c>
      <c r="AC20" s="12" t="s">
        <v>114</v>
      </c>
      <c r="AD20" s="11" t="s">
        <v>115</v>
      </c>
      <c r="AE20" s="12" t="s">
        <v>116</v>
      </c>
      <c r="AF20" s="14">
        <f t="shared" si="0"/>
        <v>0.18385000000000001</v>
      </c>
      <c r="AG20" s="11" t="s">
        <v>117</v>
      </c>
    </row>
    <row r="21" spans="1:33" x14ac:dyDescent="0.2">
      <c r="A21" s="8">
        <v>7628</v>
      </c>
      <c r="B21" s="9" t="s">
        <v>118</v>
      </c>
      <c r="C21" s="10">
        <v>43438</v>
      </c>
      <c r="D21" s="11">
        <v>55</v>
      </c>
      <c r="E21" s="12" t="s">
        <v>34</v>
      </c>
      <c r="F21" s="12" t="s">
        <v>35</v>
      </c>
      <c r="G21" s="12" t="s">
        <v>35</v>
      </c>
      <c r="H21" s="12" t="s">
        <v>36</v>
      </c>
      <c r="I21" s="11" t="s">
        <v>119</v>
      </c>
      <c r="J21" s="12" t="s">
        <v>120</v>
      </c>
      <c r="K21" s="13" t="s">
        <v>65</v>
      </c>
      <c r="L21" s="11" t="str">
        <f>"000072"</f>
        <v>000072</v>
      </c>
      <c r="M21" s="10">
        <v>43368</v>
      </c>
      <c r="N21" s="11" t="str">
        <f>"000082"</f>
        <v>000082</v>
      </c>
      <c r="O21" s="10">
        <v>43369</v>
      </c>
      <c r="P21" s="11" t="str">
        <f>"000213"</f>
        <v>000213</v>
      </c>
      <c r="Q21" s="10">
        <v>43369</v>
      </c>
      <c r="R21" s="11">
        <v>18</v>
      </c>
      <c r="S21" s="11" t="str">
        <f>"007600"</f>
        <v>007600</v>
      </c>
      <c r="T21" s="10">
        <v>43431</v>
      </c>
      <c r="U21" s="14">
        <v>32.502699999999997</v>
      </c>
      <c r="V21" s="14">
        <v>1.91387</v>
      </c>
      <c r="W21" s="14">
        <v>30.588830000000002</v>
      </c>
      <c r="X21" s="11">
        <v>284</v>
      </c>
      <c r="Y21" s="10">
        <v>43438</v>
      </c>
      <c r="Z21" s="11">
        <v>9972232340</v>
      </c>
      <c r="AA21" s="12" t="s">
        <v>121</v>
      </c>
      <c r="AB21" s="11" t="s">
        <v>122</v>
      </c>
      <c r="AC21" s="12" t="s">
        <v>123</v>
      </c>
      <c r="AD21" s="11" t="s">
        <v>43</v>
      </c>
      <c r="AE21" s="12" t="s">
        <v>44</v>
      </c>
      <c r="AF21" s="14">
        <f t="shared" si="0"/>
        <v>0.32502699999999995</v>
      </c>
      <c r="AG21" s="11" t="s">
        <v>75</v>
      </c>
    </row>
    <row r="22" spans="1:33" x14ac:dyDescent="0.2">
      <c r="A22" s="8">
        <v>7629</v>
      </c>
      <c r="B22" s="9" t="s">
        <v>118</v>
      </c>
      <c r="C22" s="10">
        <v>43438</v>
      </c>
      <c r="D22" s="11">
        <v>55</v>
      </c>
      <c r="E22" s="12" t="s">
        <v>34</v>
      </c>
      <c r="F22" s="12" t="s">
        <v>35</v>
      </c>
      <c r="G22" s="12" t="s">
        <v>35</v>
      </c>
      <c r="H22" s="12" t="s">
        <v>36</v>
      </c>
      <c r="I22" s="11" t="s">
        <v>124</v>
      </c>
      <c r="J22" s="12" t="s">
        <v>125</v>
      </c>
      <c r="K22" s="13" t="s">
        <v>65</v>
      </c>
      <c r="L22" s="11" t="str">
        <f>"000075"</f>
        <v>000075</v>
      </c>
      <c r="M22" s="10">
        <v>43372</v>
      </c>
      <c r="N22" s="11" t="str">
        <f>"000088"</f>
        <v>000088</v>
      </c>
      <c r="O22" s="10">
        <v>43372</v>
      </c>
      <c r="P22" s="11" t="str">
        <f>"000221"</f>
        <v>000221</v>
      </c>
      <c r="Q22" s="10">
        <v>43372</v>
      </c>
      <c r="R22" s="11">
        <v>18</v>
      </c>
      <c r="S22" s="11" t="str">
        <f>"007602"</f>
        <v>007602</v>
      </c>
      <c r="T22" s="10">
        <v>43431</v>
      </c>
      <c r="U22" s="14">
        <v>38.1389</v>
      </c>
      <c r="V22" s="14">
        <v>2.1412599999999999</v>
      </c>
      <c r="W22" s="14">
        <v>35.997639999999997</v>
      </c>
      <c r="X22" s="11">
        <v>284</v>
      </c>
      <c r="Y22" s="10">
        <v>43438</v>
      </c>
      <c r="Z22" s="11">
        <v>9071832452</v>
      </c>
      <c r="AA22" s="12" t="s">
        <v>121</v>
      </c>
      <c r="AB22" s="11" t="s">
        <v>122</v>
      </c>
      <c r="AC22" s="12" t="s">
        <v>123</v>
      </c>
      <c r="AD22" s="11" t="s">
        <v>43</v>
      </c>
      <c r="AE22" s="12" t="s">
        <v>44</v>
      </c>
      <c r="AF22" s="14">
        <f t="shared" si="0"/>
        <v>0.38138899999999998</v>
      </c>
      <c r="AG22" s="11" t="s">
        <v>75</v>
      </c>
    </row>
    <row r="23" spans="1:33" x14ac:dyDescent="0.2">
      <c r="A23" s="8">
        <v>7630</v>
      </c>
      <c r="B23" s="9" t="s">
        <v>118</v>
      </c>
      <c r="C23" s="10">
        <v>43438</v>
      </c>
      <c r="D23" s="11">
        <v>55</v>
      </c>
      <c r="E23" s="12" t="s">
        <v>34</v>
      </c>
      <c r="F23" s="12" t="s">
        <v>35</v>
      </c>
      <c r="G23" s="12" t="s">
        <v>35</v>
      </c>
      <c r="H23" s="12" t="s">
        <v>36</v>
      </c>
      <c r="I23" s="11" t="s">
        <v>126</v>
      </c>
      <c r="J23" s="12" t="s">
        <v>127</v>
      </c>
      <c r="K23" s="13" t="s">
        <v>65</v>
      </c>
      <c r="L23" s="11" t="str">
        <f>"000074"</f>
        <v>000074</v>
      </c>
      <c r="M23" s="10">
        <v>43372</v>
      </c>
      <c r="N23" s="11" t="str">
        <f>"000089"</f>
        <v>000089</v>
      </c>
      <c r="O23" s="10">
        <v>43372</v>
      </c>
      <c r="P23" s="11" t="str">
        <f>"000222"</f>
        <v>000222</v>
      </c>
      <c r="Q23" s="10">
        <v>43372</v>
      </c>
      <c r="R23" s="11">
        <v>18</v>
      </c>
      <c r="S23" s="11" t="str">
        <f>"007603"</f>
        <v>007603</v>
      </c>
      <c r="T23" s="10">
        <v>43431</v>
      </c>
      <c r="U23" s="14">
        <v>27.77525</v>
      </c>
      <c r="V23" s="14">
        <v>1.57535</v>
      </c>
      <c r="W23" s="14">
        <v>26.1999</v>
      </c>
      <c r="X23" s="11">
        <v>284</v>
      </c>
      <c r="Y23" s="10">
        <v>43438</v>
      </c>
      <c r="Z23" s="11">
        <v>9071832452</v>
      </c>
      <c r="AA23" s="12" t="s">
        <v>121</v>
      </c>
      <c r="AB23" s="11" t="s">
        <v>122</v>
      </c>
      <c r="AC23" s="12" t="s">
        <v>123</v>
      </c>
      <c r="AD23" s="11" t="s">
        <v>43</v>
      </c>
      <c r="AE23" s="12" t="s">
        <v>44</v>
      </c>
      <c r="AF23" s="14">
        <f t="shared" si="0"/>
        <v>0.27775250000000001</v>
      </c>
      <c r="AG23" s="11" t="s">
        <v>75</v>
      </c>
    </row>
    <row r="24" spans="1:33" x14ac:dyDescent="0.2">
      <c r="A24" s="8">
        <v>7631</v>
      </c>
      <c r="B24" s="9" t="s">
        <v>118</v>
      </c>
      <c r="C24" s="10">
        <v>43438</v>
      </c>
      <c r="D24" s="11">
        <v>55</v>
      </c>
      <c r="E24" s="12" t="s">
        <v>34</v>
      </c>
      <c r="F24" s="12" t="s">
        <v>35</v>
      </c>
      <c r="G24" s="12" t="s">
        <v>35</v>
      </c>
      <c r="H24" s="12" t="s">
        <v>36</v>
      </c>
      <c r="I24" s="11" t="s">
        <v>128</v>
      </c>
      <c r="J24" s="12" t="s">
        <v>129</v>
      </c>
      <c r="K24" s="13" t="s">
        <v>65</v>
      </c>
      <c r="L24" s="11" t="str">
        <f>"000079"</f>
        <v>000079</v>
      </c>
      <c r="M24" s="10">
        <v>43372</v>
      </c>
      <c r="N24" s="11" t="str">
        <f>"000090"</f>
        <v>000090</v>
      </c>
      <c r="O24" s="10">
        <v>43372</v>
      </c>
      <c r="P24" s="11" t="str">
        <f>"000223"</f>
        <v>000223</v>
      </c>
      <c r="Q24" s="10">
        <v>43372</v>
      </c>
      <c r="R24" s="11">
        <v>18</v>
      </c>
      <c r="S24" s="11" t="str">
        <f>"007608"</f>
        <v>007608</v>
      </c>
      <c r="T24" s="10">
        <v>43431</v>
      </c>
      <c r="U24" s="14">
        <v>12.86397</v>
      </c>
      <c r="V24" s="14">
        <v>0.71411999999999998</v>
      </c>
      <c r="W24" s="14">
        <v>12.149850000000001</v>
      </c>
      <c r="X24" s="11">
        <v>284</v>
      </c>
      <c r="Y24" s="10">
        <v>43438</v>
      </c>
      <c r="Z24" s="11">
        <v>9448065010</v>
      </c>
      <c r="AA24" s="12" t="s">
        <v>121</v>
      </c>
      <c r="AB24" s="11" t="s">
        <v>122</v>
      </c>
      <c r="AC24" s="12" t="s">
        <v>123</v>
      </c>
      <c r="AD24" s="11" t="s">
        <v>43</v>
      </c>
      <c r="AE24" s="12" t="s">
        <v>44</v>
      </c>
      <c r="AF24" s="14">
        <f t="shared" si="0"/>
        <v>0.1286397</v>
      </c>
      <c r="AG24" s="11" t="s">
        <v>75</v>
      </c>
    </row>
    <row r="25" spans="1:33" x14ac:dyDescent="0.2">
      <c r="A25" s="8">
        <v>8334</v>
      </c>
      <c r="B25" s="9" t="s">
        <v>130</v>
      </c>
      <c r="C25" s="10">
        <v>43467</v>
      </c>
      <c r="D25" s="11">
        <v>55</v>
      </c>
      <c r="E25" s="12" t="s">
        <v>34</v>
      </c>
      <c r="F25" s="12" t="s">
        <v>35</v>
      </c>
      <c r="G25" s="12" t="s">
        <v>35</v>
      </c>
      <c r="H25" s="12" t="s">
        <v>36</v>
      </c>
      <c r="I25" s="11" t="s">
        <v>131</v>
      </c>
      <c r="J25" s="12" t="s">
        <v>132</v>
      </c>
      <c r="K25" s="13" t="s">
        <v>133</v>
      </c>
      <c r="L25" s="11" t="str">
        <f>"000023"</f>
        <v>000023</v>
      </c>
      <c r="M25" s="10">
        <v>43420</v>
      </c>
      <c r="N25" s="11" t="str">
        <f>"000066"</f>
        <v>000066</v>
      </c>
      <c r="O25" s="10">
        <v>43420</v>
      </c>
      <c r="P25" s="11" t="str">
        <f>"000067"</f>
        <v>000067</v>
      </c>
      <c r="Q25" s="10">
        <v>43420</v>
      </c>
      <c r="R25" s="11"/>
      <c r="S25" s="11" t="str">
        <f>"007876"</f>
        <v>007876</v>
      </c>
      <c r="T25" s="10">
        <v>43445</v>
      </c>
      <c r="U25" s="14">
        <v>0.89302000000000004</v>
      </c>
      <c r="V25" s="14">
        <v>9.0459999999999999E-2</v>
      </c>
      <c r="W25" s="14">
        <v>0.80256000000000005</v>
      </c>
      <c r="X25" s="11">
        <v>311</v>
      </c>
      <c r="Y25" s="10">
        <v>43467</v>
      </c>
      <c r="Z25" s="11">
        <v>9480828222</v>
      </c>
      <c r="AA25" s="12" t="s">
        <v>134</v>
      </c>
      <c r="AB25" s="11" t="s">
        <v>113</v>
      </c>
      <c r="AC25" s="12" t="s">
        <v>114</v>
      </c>
      <c r="AD25" s="11" t="s">
        <v>58</v>
      </c>
      <c r="AE25" s="12" t="s">
        <v>59</v>
      </c>
      <c r="AF25" s="14">
        <f t="shared" si="0"/>
        <v>8.930200000000001E-3</v>
      </c>
      <c r="AG25" s="11" t="s">
        <v>75</v>
      </c>
    </row>
    <row r="26" spans="1:33" x14ac:dyDescent="0.2">
      <c r="A26" s="8">
        <v>8357</v>
      </c>
      <c r="B26" s="9" t="s">
        <v>130</v>
      </c>
      <c r="C26" s="10">
        <v>43467</v>
      </c>
      <c r="D26" s="11">
        <v>55</v>
      </c>
      <c r="E26" s="12" t="s">
        <v>34</v>
      </c>
      <c r="F26" s="12" t="s">
        <v>35</v>
      </c>
      <c r="G26" s="12" t="s">
        <v>35</v>
      </c>
      <c r="H26" s="12" t="s">
        <v>36</v>
      </c>
      <c r="I26" s="11" t="s">
        <v>135</v>
      </c>
      <c r="J26" s="12" t="s">
        <v>136</v>
      </c>
      <c r="K26" s="13" t="s">
        <v>133</v>
      </c>
      <c r="L26" s="11" t="str">
        <f>"000102"</f>
        <v>000102</v>
      </c>
      <c r="M26" s="10">
        <v>43403</v>
      </c>
      <c r="N26" s="11" t="str">
        <f>"000101"</f>
        <v>000101</v>
      </c>
      <c r="O26" s="10">
        <v>43404</v>
      </c>
      <c r="P26" s="11" t="str">
        <f>"000238"</f>
        <v>000238</v>
      </c>
      <c r="Q26" s="10">
        <v>43404</v>
      </c>
      <c r="R26" s="11"/>
      <c r="S26" s="11" t="str">
        <f>"008039"</f>
        <v>008039</v>
      </c>
      <c r="T26" s="10">
        <v>43451</v>
      </c>
      <c r="U26" s="14">
        <v>9.9088100000000008</v>
      </c>
      <c r="V26" s="14">
        <v>1.2016</v>
      </c>
      <c r="W26" s="14">
        <v>8.7072099999999999</v>
      </c>
      <c r="X26" s="11">
        <v>311</v>
      </c>
      <c r="Y26" s="10">
        <v>43467</v>
      </c>
      <c r="Z26" s="11">
        <v>9972232340</v>
      </c>
      <c r="AA26" s="12" t="s">
        <v>137</v>
      </c>
      <c r="AB26" s="11" t="s">
        <v>113</v>
      </c>
      <c r="AC26" s="12" t="s">
        <v>114</v>
      </c>
      <c r="AD26" s="11" t="s">
        <v>43</v>
      </c>
      <c r="AE26" s="12" t="s">
        <v>44</v>
      </c>
      <c r="AF26" s="14">
        <f t="shared" si="0"/>
        <v>9.9088100000000012E-2</v>
      </c>
      <c r="AG26" s="11" t="s">
        <v>75</v>
      </c>
    </row>
    <row r="27" spans="1:33" x14ac:dyDescent="0.2">
      <c r="A27" s="8">
        <v>8933</v>
      </c>
      <c r="B27" s="9" t="s">
        <v>138</v>
      </c>
      <c r="C27" s="10">
        <v>43500</v>
      </c>
      <c r="D27" s="11">
        <v>55</v>
      </c>
      <c r="E27" s="12" t="s">
        <v>34</v>
      </c>
      <c r="F27" s="12" t="s">
        <v>35</v>
      </c>
      <c r="G27" s="12" t="s">
        <v>35</v>
      </c>
      <c r="H27" s="12" t="s">
        <v>36</v>
      </c>
      <c r="I27" s="11" t="s">
        <v>139</v>
      </c>
      <c r="J27" s="12" t="s">
        <v>140</v>
      </c>
      <c r="K27" s="13" t="s">
        <v>133</v>
      </c>
      <c r="L27" s="11" t="str">
        <f>"000039"</f>
        <v>000039</v>
      </c>
      <c r="M27" s="10">
        <v>43448</v>
      </c>
      <c r="N27" s="11" t="str">
        <f>"000093"</f>
        <v>000093</v>
      </c>
      <c r="O27" s="10">
        <v>43448</v>
      </c>
      <c r="P27" s="11" t="str">
        <f>"000094"</f>
        <v>000094</v>
      </c>
      <c r="Q27" s="10">
        <v>43448</v>
      </c>
      <c r="R27" s="11"/>
      <c r="S27" s="11" t="str">
        <f>"008732"</f>
        <v>008732</v>
      </c>
      <c r="T27" s="10">
        <v>43482</v>
      </c>
      <c r="U27" s="14">
        <v>0.88275999999999999</v>
      </c>
      <c r="V27" s="14">
        <v>8.9429999999999996E-2</v>
      </c>
      <c r="W27" s="14">
        <v>0.79332999999999998</v>
      </c>
      <c r="X27" s="11">
        <v>338</v>
      </c>
      <c r="Y27" s="10">
        <v>43500</v>
      </c>
      <c r="Z27" s="11">
        <v>9342541594</v>
      </c>
      <c r="AA27" s="12" t="s">
        <v>141</v>
      </c>
      <c r="AB27" s="11" t="s">
        <v>113</v>
      </c>
      <c r="AC27" s="12" t="s">
        <v>114</v>
      </c>
      <c r="AD27" s="11" t="s">
        <v>58</v>
      </c>
      <c r="AE27" s="12" t="s">
        <v>59</v>
      </c>
      <c r="AF27" s="14">
        <f t="shared" si="0"/>
        <v>8.8275999999999997E-3</v>
      </c>
      <c r="AG27" s="11" t="s">
        <v>75</v>
      </c>
    </row>
    <row r="28" spans="1:33" x14ac:dyDescent="0.2">
      <c r="A28" s="8">
        <v>9132</v>
      </c>
      <c r="B28" s="9" t="s">
        <v>138</v>
      </c>
      <c r="C28" s="10">
        <v>43508</v>
      </c>
      <c r="D28" s="11">
        <v>55</v>
      </c>
      <c r="E28" s="12" t="s">
        <v>34</v>
      </c>
      <c r="F28" s="12" t="s">
        <v>35</v>
      </c>
      <c r="G28" s="12" t="s">
        <v>35</v>
      </c>
      <c r="H28" s="12" t="s">
        <v>36</v>
      </c>
      <c r="I28" s="11" t="s">
        <v>142</v>
      </c>
      <c r="J28" s="12" t="s">
        <v>143</v>
      </c>
      <c r="K28" s="13" t="s">
        <v>39</v>
      </c>
      <c r="L28" s="11" t="str">
        <f>"000097"</f>
        <v>000097</v>
      </c>
      <c r="M28" s="10">
        <v>43191</v>
      </c>
      <c r="N28" s="11" t="str">
        <f>"000061"</f>
        <v>000061</v>
      </c>
      <c r="O28" s="10">
        <v>42915</v>
      </c>
      <c r="P28" s="11" t="str">
        <f>"000126"</f>
        <v>000126</v>
      </c>
      <c r="Q28" s="10">
        <v>42915</v>
      </c>
      <c r="R28" s="11"/>
      <c r="S28" s="11" t="str">
        <f>"009178"</f>
        <v>009178</v>
      </c>
      <c r="T28" s="10">
        <v>43503</v>
      </c>
      <c r="U28" s="14">
        <v>24.276289999999999</v>
      </c>
      <c r="V28" s="14">
        <v>3.3473000000000002</v>
      </c>
      <c r="W28" s="14">
        <v>20.928989999999999</v>
      </c>
      <c r="X28" s="11">
        <v>349</v>
      </c>
      <c r="Y28" s="10">
        <v>43508</v>
      </c>
      <c r="Z28" s="11">
        <v>9986691999</v>
      </c>
      <c r="AA28" s="12" t="s">
        <v>141</v>
      </c>
      <c r="AB28" s="11" t="s">
        <v>144</v>
      </c>
      <c r="AC28" s="12" t="s">
        <v>145</v>
      </c>
      <c r="AD28" s="11" t="s">
        <v>43</v>
      </c>
      <c r="AE28" s="12" t="s">
        <v>44</v>
      </c>
      <c r="AF28" s="14">
        <f t="shared" si="0"/>
        <v>0.2427629</v>
      </c>
      <c r="AG28" s="11" t="s">
        <v>117</v>
      </c>
    </row>
    <row r="29" spans="1:33" x14ac:dyDescent="0.2">
      <c r="A29" s="8">
        <v>9133</v>
      </c>
      <c r="B29" s="9" t="s">
        <v>138</v>
      </c>
      <c r="C29" s="10">
        <v>43508</v>
      </c>
      <c r="D29" s="11">
        <v>55</v>
      </c>
      <c r="E29" s="12" t="s">
        <v>34</v>
      </c>
      <c r="F29" s="12" t="s">
        <v>35</v>
      </c>
      <c r="G29" s="12" t="s">
        <v>35</v>
      </c>
      <c r="H29" s="12" t="s">
        <v>36</v>
      </c>
      <c r="I29" s="11" t="s">
        <v>146</v>
      </c>
      <c r="J29" s="12" t="s">
        <v>147</v>
      </c>
      <c r="K29" s="13" t="s">
        <v>54</v>
      </c>
      <c r="L29" s="11" t="str">
        <f>"000092"</f>
        <v>000092</v>
      </c>
      <c r="M29" s="10">
        <v>43191</v>
      </c>
      <c r="N29" s="11" t="str">
        <f>"000060"</f>
        <v>000060</v>
      </c>
      <c r="O29" s="10">
        <v>42915</v>
      </c>
      <c r="P29" s="11" t="str">
        <f>"000127"</f>
        <v>000127</v>
      </c>
      <c r="Q29" s="10">
        <v>42915</v>
      </c>
      <c r="R29" s="11"/>
      <c r="S29" s="11" t="str">
        <f>"009179"</f>
        <v>009179</v>
      </c>
      <c r="T29" s="10">
        <v>43503</v>
      </c>
      <c r="U29" s="14">
        <v>19.71698</v>
      </c>
      <c r="V29" s="14">
        <v>2.69774</v>
      </c>
      <c r="W29" s="14">
        <v>17.01924</v>
      </c>
      <c r="X29" s="11">
        <v>349</v>
      </c>
      <c r="Y29" s="10">
        <v>43508</v>
      </c>
      <c r="Z29" s="11">
        <v>9986691999</v>
      </c>
      <c r="AA29" s="12" t="s">
        <v>141</v>
      </c>
      <c r="AB29" s="11" t="s">
        <v>144</v>
      </c>
      <c r="AC29" s="12" t="s">
        <v>145</v>
      </c>
      <c r="AD29" s="11" t="s">
        <v>43</v>
      </c>
      <c r="AE29" s="12" t="s">
        <v>44</v>
      </c>
      <c r="AF29" s="14">
        <f t="shared" si="0"/>
        <v>0.19716980000000001</v>
      </c>
      <c r="AG29" s="11" t="s">
        <v>117</v>
      </c>
    </row>
    <row r="30" spans="1:33" x14ac:dyDescent="0.2">
      <c r="A30" s="8">
        <v>9134</v>
      </c>
      <c r="B30" s="9" t="s">
        <v>138</v>
      </c>
      <c r="C30" s="10">
        <v>43508</v>
      </c>
      <c r="D30" s="11">
        <v>55</v>
      </c>
      <c r="E30" s="12" t="s">
        <v>34</v>
      </c>
      <c r="F30" s="12" t="s">
        <v>35</v>
      </c>
      <c r="G30" s="12" t="s">
        <v>35</v>
      </c>
      <c r="H30" s="12" t="s">
        <v>36</v>
      </c>
      <c r="I30" s="11" t="s">
        <v>148</v>
      </c>
      <c r="J30" s="12" t="s">
        <v>149</v>
      </c>
      <c r="K30" s="13" t="s">
        <v>54</v>
      </c>
      <c r="L30" s="11" t="str">
        <f>"000093"</f>
        <v>000093</v>
      </c>
      <c r="M30" s="10">
        <v>43191</v>
      </c>
      <c r="N30" s="11" t="str">
        <f>"000059"</f>
        <v>000059</v>
      </c>
      <c r="O30" s="10">
        <v>42915</v>
      </c>
      <c r="P30" s="11" t="str">
        <f>"000128"</f>
        <v>000128</v>
      </c>
      <c r="Q30" s="10">
        <v>42915</v>
      </c>
      <c r="R30" s="11"/>
      <c r="S30" s="11" t="str">
        <f>"009180"</f>
        <v>009180</v>
      </c>
      <c r="T30" s="10">
        <v>43503</v>
      </c>
      <c r="U30" s="14">
        <v>9.8086000000000002</v>
      </c>
      <c r="V30" s="14">
        <v>1.3643099999999999</v>
      </c>
      <c r="W30" s="14">
        <v>8.4442900000000005</v>
      </c>
      <c r="X30" s="11">
        <v>349</v>
      </c>
      <c r="Y30" s="10">
        <v>43508</v>
      </c>
      <c r="Z30" s="11">
        <v>9986691999</v>
      </c>
      <c r="AA30" s="12" t="s">
        <v>141</v>
      </c>
      <c r="AB30" s="11" t="s">
        <v>144</v>
      </c>
      <c r="AC30" s="12" t="s">
        <v>145</v>
      </c>
      <c r="AD30" s="11" t="s">
        <v>43</v>
      </c>
      <c r="AE30" s="12" t="s">
        <v>44</v>
      </c>
      <c r="AF30" s="14">
        <f t="shared" si="0"/>
        <v>9.8086000000000007E-2</v>
      </c>
      <c r="AG30" s="11" t="s">
        <v>117</v>
      </c>
    </row>
    <row r="31" spans="1:33" x14ac:dyDescent="0.2">
      <c r="A31" s="8">
        <v>9206</v>
      </c>
      <c r="B31" s="9" t="s">
        <v>138</v>
      </c>
      <c r="C31" s="10">
        <v>43511</v>
      </c>
      <c r="D31" s="11">
        <v>55</v>
      </c>
      <c r="E31" s="12" t="s">
        <v>34</v>
      </c>
      <c r="F31" s="12" t="s">
        <v>35</v>
      </c>
      <c r="G31" s="12" t="s">
        <v>35</v>
      </c>
      <c r="H31" s="12" t="s">
        <v>36</v>
      </c>
      <c r="I31" s="11" t="s">
        <v>150</v>
      </c>
      <c r="J31" s="12" t="s">
        <v>151</v>
      </c>
      <c r="K31" s="13" t="s">
        <v>54</v>
      </c>
      <c r="L31" s="11" t="str">
        <f>"000138"</f>
        <v>000138</v>
      </c>
      <c r="M31" s="10">
        <v>43420</v>
      </c>
      <c r="N31" s="11" t="str">
        <f>"000002"</f>
        <v>000002</v>
      </c>
      <c r="O31" s="10">
        <v>43593</v>
      </c>
      <c r="P31" s="11" t="str">
        <f>"000011"</f>
        <v>000011</v>
      </c>
      <c r="Q31" s="10">
        <v>43593</v>
      </c>
      <c r="R31" s="11"/>
      <c r="S31" s="11" t="str">
        <f>""</f>
        <v/>
      </c>
      <c r="T31" s="10"/>
      <c r="U31" s="14">
        <v>6.0102200000000003</v>
      </c>
      <c r="V31" s="14">
        <v>0.42853000000000002</v>
      </c>
      <c r="W31" s="14">
        <v>5.58169</v>
      </c>
      <c r="X31" s="11">
        <v>353</v>
      </c>
      <c r="Y31" s="10">
        <v>43511</v>
      </c>
      <c r="Z31" s="11">
        <v>8123319006</v>
      </c>
      <c r="AA31" s="12" t="s">
        <v>152</v>
      </c>
      <c r="AB31" s="11" t="s">
        <v>153</v>
      </c>
      <c r="AC31" s="12" t="s">
        <v>154</v>
      </c>
      <c r="AD31" s="11" t="s">
        <v>43</v>
      </c>
      <c r="AE31" s="12" t="s">
        <v>44</v>
      </c>
      <c r="AF31" s="14">
        <f t="shared" si="0"/>
        <v>6.0102200000000001E-2</v>
      </c>
      <c r="AG31" s="11" t="s">
        <v>75</v>
      </c>
    </row>
    <row r="32" spans="1:33" x14ac:dyDescent="0.2">
      <c r="A32" s="8">
        <v>9369</v>
      </c>
      <c r="B32" s="9" t="s">
        <v>138</v>
      </c>
      <c r="C32" s="10">
        <v>43521</v>
      </c>
      <c r="D32" s="11">
        <v>55</v>
      </c>
      <c r="E32" s="12" t="s">
        <v>34</v>
      </c>
      <c r="F32" s="12" t="s">
        <v>35</v>
      </c>
      <c r="G32" s="12" t="s">
        <v>35</v>
      </c>
      <c r="H32" s="12" t="s">
        <v>36</v>
      </c>
      <c r="I32" s="11" t="s">
        <v>155</v>
      </c>
      <c r="J32" s="12" t="s">
        <v>156</v>
      </c>
      <c r="K32" s="13" t="s">
        <v>157</v>
      </c>
      <c r="L32" s="11" t="str">
        <f>"000174"</f>
        <v>000174</v>
      </c>
      <c r="M32" s="10">
        <v>42816</v>
      </c>
      <c r="N32" s="11" t="str">
        <f>"000123"</f>
        <v>000123</v>
      </c>
      <c r="O32" s="10">
        <v>43174</v>
      </c>
      <c r="P32" s="11" t="str">
        <f>"000256"</f>
        <v>000256</v>
      </c>
      <c r="Q32" s="10">
        <v>43181</v>
      </c>
      <c r="R32" s="11"/>
      <c r="S32" s="11" t="str">
        <f>"009356"</f>
        <v>009356</v>
      </c>
      <c r="T32" s="10">
        <v>43518</v>
      </c>
      <c r="U32" s="14">
        <v>20.730239999999998</v>
      </c>
      <c r="V32" s="14">
        <v>2.4221900000000001</v>
      </c>
      <c r="W32" s="14">
        <v>18.308050000000001</v>
      </c>
      <c r="X32" s="11">
        <v>360</v>
      </c>
      <c r="Y32" s="10">
        <v>43521</v>
      </c>
      <c r="Z32" s="11">
        <v>0</v>
      </c>
      <c r="AA32" s="12" t="s">
        <v>158</v>
      </c>
      <c r="AB32" s="11" t="s">
        <v>50</v>
      </c>
      <c r="AC32" s="12" t="s">
        <v>51</v>
      </c>
      <c r="AD32" s="11" t="s">
        <v>43</v>
      </c>
      <c r="AE32" s="12" t="s">
        <v>44</v>
      </c>
      <c r="AF32" s="14">
        <f t="shared" si="0"/>
        <v>0.2073024</v>
      </c>
      <c r="AG32" s="11" t="s">
        <v>45</v>
      </c>
    </row>
    <row r="33" spans="1:33" x14ac:dyDescent="0.2">
      <c r="A33" s="8">
        <v>9503</v>
      </c>
      <c r="B33" s="9" t="s">
        <v>159</v>
      </c>
      <c r="C33" s="10">
        <v>43531</v>
      </c>
      <c r="D33" s="11">
        <v>55</v>
      </c>
      <c r="E33" s="12" t="s">
        <v>34</v>
      </c>
      <c r="F33" s="12" t="s">
        <v>35</v>
      </c>
      <c r="G33" s="12" t="s">
        <v>35</v>
      </c>
      <c r="H33" s="12" t="s">
        <v>36</v>
      </c>
      <c r="I33" s="11" t="s">
        <v>160</v>
      </c>
      <c r="J33" s="12" t="s">
        <v>161</v>
      </c>
      <c r="K33" s="13" t="s">
        <v>54</v>
      </c>
      <c r="L33" s="11" t="str">
        <f>"000062"</f>
        <v>000062</v>
      </c>
      <c r="M33" s="10">
        <v>43472</v>
      </c>
      <c r="N33" s="11" t="str">
        <f>"000127"</f>
        <v>000127</v>
      </c>
      <c r="O33" s="10">
        <v>43500</v>
      </c>
      <c r="P33" s="11" t="str">
        <f>"000131"</f>
        <v>000131</v>
      </c>
      <c r="Q33" s="10">
        <v>43500</v>
      </c>
      <c r="R33" s="11"/>
      <c r="S33" s="11" t="str">
        <f>"009615"</f>
        <v>009615</v>
      </c>
      <c r="T33" s="10">
        <v>43529</v>
      </c>
      <c r="U33" s="14">
        <v>10.74808</v>
      </c>
      <c r="V33" s="14">
        <v>1.0887800000000001</v>
      </c>
      <c r="W33" s="14">
        <v>9.6593</v>
      </c>
      <c r="X33" s="11">
        <v>369</v>
      </c>
      <c r="Y33" s="10">
        <v>43531</v>
      </c>
      <c r="Z33" s="11">
        <v>9980796171</v>
      </c>
      <c r="AA33" s="12" t="s">
        <v>162</v>
      </c>
      <c r="AB33" s="11" t="s">
        <v>163</v>
      </c>
      <c r="AC33" s="12" t="s">
        <v>164</v>
      </c>
      <c r="AD33" s="11" t="s">
        <v>58</v>
      </c>
      <c r="AE33" s="12" t="s">
        <v>59</v>
      </c>
      <c r="AF33" s="14">
        <f t="shared" si="0"/>
        <v>0.1074808</v>
      </c>
      <c r="AG33" s="11" t="s">
        <v>75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2019-06-13T07:40:59Z</dcterms:modified>
</cp:coreProperties>
</file>