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2" i="1" l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<sst xmlns="http://schemas.openxmlformats.org/spreadsheetml/2006/main" count="747" uniqueCount="224">
  <si>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</si>
  <si>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</si>
  <si>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</si>
  <si>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</si>
  <si>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</si>
  <si>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</si>
  <si>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</si>
  <si>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</si>
  <si>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</si>
  <si>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</si>
  <si>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</si>
  <si>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</si>
  <si>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</si>
  <si>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</si>
  <si>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</si>
  <si>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</si>
  <si>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</si>
  <si>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</si>
  <si>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</si>
  <si>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</si>
  <si>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</si>
  <si>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</si>
  <si>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</si>
  <si>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</si>
  <si>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</si>
  <si>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</si>
  <si>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</si>
  <si>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</si>
  <si>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</si>
  <si>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</si>
  <si>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</si>
  <si>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</si>
  <si>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</si>
  <si>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</si>
  <si>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Maruthi Seva Nagara</t>
  </si>
  <si>
    <t>Sarvagna Nagara</t>
  </si>
  <si>
    <t>East</t>
  </si>
  <si>
    <t>059-17-000043</t>
  </si>
  <si>
    <t>Engagement of Gangman and Hiring of Tractor Tippers for cleaning and Maintenance of road side drains and other cleaning works in works in ward no 59</t>
  </si>
  <si>
    <t>Other Ward Works</t>
  </si>
  <si>
    <t>G.C.S.ConstructionsProp. G. Chandra,</t>
  </si>
  <si>
    <t>P3110</t>
  </si>
  <si>
    <t>14th Finance Commission Grant Works</t>
  </si>
  <si>
    <t>ddo081</t>
  </si>
  <si>
    <t xml:space="preserve"> Assistant Executive Engineer Maruthysena Nagar East Zone</t>
  </si>
  <si>
    <t>Pending</t>
  </si>
  <si>
    <t>059-16-000005</t>
  </si>
  <si>
    <t>IMPROVEMENTS TO ROADS AND DRAINS IN AK COLONY IN WARD NO.59 MARUTHISEVANAGARA.</t>
  </si>
  <si>
    <t>Roads &amp; Drivablility</t>
  </si>
  <si>
    <t>P.Vishwanath,</t>
  </si>
  <si>
    <t>P1771</t>
  </si>
  <si>
    <t>Zone Works - POW Works</t>
  </si>
  <si>
    <t>059-16-000004</t>
  </si>
  <si>
    <t>CONSTRUCTION OF CC ROADS TO 1ST CROSS ITC COLONY AND SURROUNDING AREAS IN WARD NO.59 MARUTHISEVANAGARA.</t>
  </si>
  <si>
    <t>B.P.shanmugam,</t>
  </si>
  <si>
    <t>May</t>
  </si>
  <si>
    <t>059-17-000003</t>
  </si>
  <si>
    <t>Providing Repair Works to BBMP Building in Ward No.59, Maruthi Seva nagara</t>
  </si>
  <si>
    <t>G.C.S.Constructions,</t>
  </si>
  <si>
    <t>059-18-000014</t>
  </si>
  <si>
    <t>Improvements to Road and Drains at jeevanahalli and surrounding area in Ward No.59, Maruthi Seva nagara.</t>
  </si>
  <si>
    <t xml:space="preserve">The Technical Manager-01, </t>
  </si>
  <si>
    <t>P3111</t>
  </si>
  <si>
    <t>State Finance Commission Untied Grant Works</t>
  </si>
  <si>
    <t>Current</t>
  </si>
  <si>
    <t>059-18-000018</t>
  </si>
  <si>
    <t>Improvements to Road and Drains at ITC Colony, 1st to 8th Cross in Ward No.59, Maruthi Seva nagara.</t>
  </si>
  <si>
    <t>The Technical Manager-01, KRIDL</t>
  </si>
  <si>
    <t>059-18-000011</t>
  </si>
  <si>
    <t>Providing CC Road to KHB Quatress, Krishnappa Lane, 2nd and 3rd Cross Road in Ward No.59, Maruthi Seva nagara</t>
  </si>
  <si>
    <t>The Technical Manager-1, KRIDL</t>
  </si>
  <si>
    <t>059-18-000015</t>
  </si>
  <si>
    <t>Improvements to Road and Drains at Chettappa Garden, KHB Quatress in Ward No.59, Maruthi Seva nagara.</t>
  </si>
  <si>
    <t>The Technical MAnager-01,</t>
  </si>
  <si>
    <t>059-18-000019</t>
  </si>
  <si>
    <t>Improvements to Road and Drains at ITC Colony main Road, 4th to 7th Cross Roads in Ward No.59, Maruthi Seva nagara.</t>
  </si>
  <si>
    <t>059-18-000020</t>
  </si>
  <si>
    <t>Improvements Road and Drain at Post Office and Surrounding Area in Ward No.59, Maruthi Seva Nagara</t>
  </si>
  <si>
    <t>Footpaths &amp; Walkability</t>
  </si>
  <si>
    <t>The Technical Manager-01, KRIDL,</t>
  </si>
  <si>
    <t>059-18-000003</t>
  </si>
  <si>
    <t>IMPROVEMENTS TO DRAINS AT NAGAIAHNA PALYA MAIN ROAD FROM 7TH CROSS IN WARD NO 59 MARUTHISEVANAGAR</t>
  </si>
  <si>
    <t>The Technical Manager-01,</t>
  </si>
  <si>
    <t>P1878</t>
  </si>
  <si>
    <t>18per - Works (Bhagyajyothi, Sooru / Neeru Yojane and General) (54 Lakhs / New Wards)</t>
  </si>
  <si>
    <t>Spill Over</t>
  </si>
  <si>
    <t>059-18-000001</t>
  </si>
  <si>
    <t>IMPROVEMENTS TO DRAINS AND PROVIDING FOOTPATH TILES AT AK COLONY JEEVANAHALLI IN WARD NO 59 MARUTHISEVANAGAR</t>
  </si>
  <si>
    <t>The Technical MAnager-01, East Zone,</t>
  </si>
  <si>
    <t>059-18-000004</t>
  </si>
  <si>
    <t>IMPROVEMENTS TO DRAINS AT CHETTAPPA GARDEN AND CHENNAPPA LANE SURROUNDING AREA IN WARD NO 59 MARUTHISEVANAGAR</t>
  </si>
  <si>
    <t>June</t>
  </si>
  <si>
    <t>059-16-000018</t>
  </si>
  <si>
    <t>IMPROVEMENTS AND ASPHALTING TO CROSS ROAD IN 1ST CROSS VIVEKANANDANAGAR MARUTHISEVANAGAR IN WARD NO 59</t>
  </si>
  <si>
    <t>M/s KCVR Infra Projects Privatce LCimited,</t>
  </si>
  <si>
    <t>P3106</t>
  </si>
  <si>
    <t>Nagarothana Works</t>
  </si>
  <si>
    <t>059-17-000021</t>
  </si>
  <si>
    <t>Providing and fixing of LED Street lights in Ward No 59 in C.V.Raman Nagar Division</t>
  </si>
  <si>
    <t>M/s Newtech Engineers</t>
  </si>
  <si>
    <t>ddo089</t>
  </si>
  <si>
    <t xml:space="preserve"> Assistant Executive Engineer Electrical East Zone</t>
  </si>
  <si>
    <t>July</t>
  </si>
  <si>
    <t>059-18-000021</t>
  </si>
  <si>
    <t>Emergency works in Maruthisevanagar Sub division in Ward No-27,28,29,49,59</t>
  </si>
  <si>
    <t xml:space="preserve">The Technical Manager-01, KRIDL, </t>
  </si>
  <si>
    <t>059-18-000022</t>
  </si>
  <si>
    <t>Providing Gym equipments at Muddappa Garden in ward no 59</t>
  </si>
  <si>
    <t>Trees, Parks &amp; Playgrounds</t>
  </si>
  <si>
    <t xml:space="preserve">M/s KRIDL </t>
  </si>
  <si>
    <t>ddo075</t>
  </si>
  <si>
    <t xml:space="preserve"> Executive Engineer Project East Zone</t>
  </si>
  <si>
    <t>059-18-000009</t>
  </si>
  <si>
    <t>Providing CC Road to Jeevanahalli 4th Cross and Cross Roads and surrounding area in Ward No.59, Maruthi Seva nagara</t>
  </si>
  <si>
    <t>059-16-000007</t>
  </si>
  <si>
    <t>MAINTENANCE OF WARD AND REMOVAL OF DEBRIS IN WARD NO-59 MARUTHISEVANAGARA.</t>
  </si>
  <si>
    <t>Health &amp; Sanitation</t>
  </si>
  <si>
    <t>S.somashekar Reddy,</t>
  </si>
  <si>
    <t>059-16-000001</t>
  </si>
  <si>
    <t>Operation and Maintenance of street lights at Maruthisevanagara area ward no 59 Package E23 for one year.</t>
  </si>
  <si>
    <t>M/s S.I Enterpreises</t>
  </si>
  <si>
    <t>P0300</t>
  </si>
  <si>
    <t>M and R to Street Lights - Replacement of Burnt Bulbs etc. (Package)</t>
  </si>
  <si>
    <t>314-12-000014</t>
  </si>
  <si>
    <t>Annual Street light maintenance at ward no 27 and 59 Package-E14</t>
  </si>
  <si>
    <t>NEWTECH ENGINEERS</t>
  </si>
  <si>
    <t>059-16-000002</t>
  </si>
  <si>
    <t>IMPROVEMENTS TO ROADS IN MUNIGA LAYOUT AND SURROUNDING AREA IN WARD NO.59 MARUTHISEVANAGARA.</t>
  </si>
  <si>
    <t>Ganesh.M.S.</t>
  </si>
  <si>
    <t>059-18-000027</t>
  </si>
  <si>
    <t>Drilling of Borewell and Providing Drinking Water Facility in ward no 59 Maruthisevanagara</t>
  </si>
  <si>
    <t>Drinking Water</t>
  </si>
  <si>
    <t xml:space="preserve">Technical Manager KRIDL </t>
  </si>
  <si>
    <t>P3293</t>
  </si>
  <si>
    <t>14th Finance Commission Works - Drinking Water</t>
  </si>
  <si>
    <t>August</t>
  </si>
  <si>
    <t>059-18-000002</t>
  </si>
  <si>
    <t>IMPROVEMENTS TO DRAINS AT MAIN ROAD OF GANGMEN QUATRES IN LAZER ROAD IN WARD NO 59 MARUTHISEVANAGAR</t>
  </si>
  <si>
    <t>M/s KRIDL, The Technical Manager -01,</t>
  </si>
  <si>
    <t>059-17-000010</t>
  </si>
  <si>
    <t>Improvements of Drains and Culverts at Park Road in Jeevanahalli and Surroundings areas in Ward No.59, Maruthi Seva nagara</t>
  </si>
  <si>
    <t>G.C.S.Construction,(Prop G.Chandra),</t>
  </si>
  <si>
    <t>059-17-000007</t>
  </si>
  <si>
    <t>Providing CC Road to Jeevanahalli Cross Roads and Surrounding Areas in Ward No.59, Maruthi Seva nagara</t>
  </si>
  <si>
    <t xml:space="preserve">G.C.S.Construction,(Prop G.Chandra), </t>
  </si>
  <si>
    <t>059-17-000008</t>
  </si>
  <si>
    <t>Improvements of Drains at 1st Cross Vivekananda Nagara and Surroundings areas in Ward No.59, Maruthi Seva nagara</t>
  </si>
  <si>
    <t>059-14-000035</t>
  </si>
  <si>
    <t>Providing balance Concrete roads in Jai Bharathi Nagar in Ward No.59 Maruthisevanagara</t>
  </si>
  <si>
    <t>P2434</t>
  </si>
  <si>
    <t>Development works for Bangalore City</t>
  </si>
  <si>
    <t>059-15-000013</t>
  </si>
  <si>
    <t>REMOVAL OF DEBRIS IN WARD NO 59 MARUTHISEVANAGAR</t>
  </si>
  <si>
    <t>L.Ramachandra,</t>
  </si>
  <si>
    <t>October</t>
  </si>
  <si>
    <t>059-17-000038</t>
  </si>
  <si>
    <t>Renovation of BBMP Library Building and Watchman Quarters (High Street) in ward no 59, Maruthi Seva Nagara</t>
  </si>
  <si>
    <t>Public Amenities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</si>
  <si>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</si>
  <si>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</si>
  <si>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059-17-000039</t>
  </si>
  <si>
    <t>Repairs to BBMP, Library Building 2nd cross Jai Bharath Nagara in ward no 59, Maruthi Seva Nagara</t>
  </si>
  <si>
    <t>The Technical Manager-01, KRIDL, East</t>
  </si>
  <si>
    <t>December</t>
  </si>
  <si>
    <t>059-17-000044</t>
  </si>
  <si>
    <t>Providing CC Camera at Garbage Block Spots in ward no 59</t>
  </si>
  <si>
    <t>Crime &amp; Safety</t>
  </si>
  <si>
    <t xml:space="preserve">M/s KRIDL, The Technical Manager-01, </t>
  </si>
  <si>
    <t>January</t>
  </si>
  <si>
    <t>059-18-000318</t>
  </si>
  <si>
    <t xml:space="preserve">Comprehensive developments works in Hutchins cross road and surrounding area in Maruthisevanagar in Ward No.59. </t>
  </si>
  <si>
    <t>M /s KRIDL, The Technical MAnager-01,</t>
  </si>
  <si>
    <t>P3158</t>
  </si>
  <si>
    <t>SIP Infrastructure Project works</t>
  </si>
  <si>
    <t>059-18-000319</t>
  </si>
  <si>
    <t xml:space="preserve">Comprehensive developments works in Jai Bharath Nagar and surrounding area in Maruthisevanagar in Ward No.59. </t>
  </si>
  <si>
    <t xml:space="preserve">M/s KRIDL, The Technical MAnager-01, </t>
  </si>
  <si>
    <t>059-18-000226</t>
  </si>
  <si>
    <t>Improvements and beautifiacation to indira cnateen premises at Jeevanahalli Bus stop in ward No 59 Maruthisevanagara</t>
  </si>
  <si>
    <t>Indira Canteen</t>
  </si>
  <si>
    <t>M/s KRIDL, The Technical Manager-01,</t>
  </si>
  <si>
    <t>059-18-000113</t>
  </si>
  <si>
    <t>Improvements and Widening of Hennur road near ST Charles Convent School ward no 59</t>
  </si>
  <si>
    <t xml:space="preserve">KRIDL </t>
  </si>
  <si>
    <t>P3075</t>
  </si>
  <si>
    <t>Special comprehensive development works in Bangalore city (Bangalore city in charge Minister Discretionary Grants)</t>
  </si>
  <si>
    <t>ddo321</t>
  </si>
  <si>
    <t xml:space="preserve"> Executive Engineer Road Widening Central Zone</t>
  </si>
  <si>
    <t>304-18-000078</t>
  </si>
  <si>
    <t>Improvements and asphalting in Vivekanandanagara surrounding in ward no 59 in Sarvagnanagar Constituency..</t>
  </si>
  <si>
    <t xml:space="preserve">KRIDL The Technical Manager -1/2/3/4 </t>
  </si>
  <si>
    <t>ddo315</t>
  </si>
  <si>
    <t xml:space="preserve"> Executive Engineer Major Road East Central Zone</t>
  </si>
  <si>
    <t>059-18-000322</t>
  </si>
  <si>
    <t xml:space="preserve">Comprehensive development works in MEG Quarters and surrounding area in Maruthisevanagar in Ward No.59. </t>
  </si>
  <si>
    <t>059-18-000320</t>
  </si>
  <si>
    <t xml:space="preserve">Comprehensive development works in Vivekananda Nagar and surrounding area in Maruthisevanagar in Ward No.59. </t>
  </si>
  <si>
    <t xml:space="preserve">M/s KRIDL, The TEchnical MAnager-01, </t>
  </si>
  <si>
    <t>February</t>
  </si>
  <si>
    <t>059-18-000013</t>
  </si>
  <si>
    <t>Construction of New Tailoring and Gym Building at K.R.Garden in Ward No.59, Maruthi Seva nagara</t>
  </si>
  <si>
    <t>059-18-000012</t>
  </si>
  <si>
    <t>Construction of New Gym Building at Muddappa Garden in Ward No.59, Maruthi Seva nagara</t>
  </si>
  <si>
    <t>M/s KRIDL, The Thechnical Manager-01,</t>
  </si>
  <si>
    <t>059-14-000025</t>
  </si>
  <si>
    <t>Improvements to Drains at Decosta Square in Ward No.59 Maruthisevanagara</t>
  </si>
  <si>
    <t>059-18-000016</t>
  </si>
  <si>
    <t>Improvements to Road and Drains at Chennappa Garden, 3rd Cross and surrounding areain Ward No.59, Maruthi Seva nagara.</t>
  </si>
  <si>
    <t>059-18-000010</t>
  </si>
  <si>
    <t>Providing CC Road to Krishnappa Lane and surrounding areain Ward No.59, Maruthi Seva nagara</t>
  </si>
  <si>
    <t>March</t>
  </si>
  <si>
    <t>059-17-000045</t>
  </si>
  <si>
    <t>Providing Modren Dust Bin in Bangalore City in ward no 59</t>
  </si>
  <si>
    <t xml:space="preserve">M/s KRILD, The Technical Manager-01, </t>
  </si>
  <si>
    <t>059-17-000041</t>
  </si>
  <si>
    <t>Providing Gym Equipments to Cooke Town Park in ward no 59, Maruthi Seva Nagara</t>
  </si>
  <si>
    <t>059-17-000042</t>
  </si>
  <si>
    <t>Remodeling of Secondary Tertiary SWD in Lloyd Road Lazer road and Jeevanahalli in ward no 59, Maruthi Seva Nagara</t>
  </si>
  <si>
    <t>Storm Water Drains</t>
  </si>
  <si>
    <t>KRIDL</t>
  </si>
  <si>
    <t>ddo313</t>
  </si>
  <si>
    <t xml:space="preserve"> Chief Engineer SWD Central Zone</t>
  </si>
  <si>
    <t>059-17-000027</t>
  </si>
  <si>
    <t>Improvements to Cross Roads and Drains in Sathya Nagara and Nagaihna Palya in ward no.59, Maruthiseva Nagara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</si>
</sst>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tabSelected="1" workbookViewId="0">
      <pane ySplit="1" topLeftCell="A2" activePane="bottomLeft" state="frozen"/>
      <selection activeCell="H1" sqref="H1"/>
      <selection pane="bottomLeft" activeCell="A2" sqref="A2:XFD52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189</v>
      </c>
      <c r="B2" s="9" t="s">
        <v>33</v>
      </c>
      <c r="C2" s="10">
        <v>43195</v>
      </c>
      <c r="D2" s="11">
        <v>59</v>
      </c>
      <c r="E2" s="12" t="s">
        <v>34</v>
      </c>
      <c r="F2" s="12" t="s">
        <v>34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"000157"</f>
        <v>000157</v>
      </c>
      <c r="M2" s="10">
        <v>43088</v>
      </c>
      <c r="N2" s="11" t="str">
        <f>"000140"</f>
        <v>000140</v>
      </c>
      <c r="O2" s="10">
        <v>43175</v>
      </c>
      <c r="P2" s="11" t="str">
        <f>"000397"</f>
        <v>000397</v>
      </c>
      <c r="Q2" s="10">
        <v>43175</v>
      </c>
      <c r="R2" s="11">
        <v>17</v>
      </c>
      <c r="S2" s="11" t="str">
        <f>"000275"</f>
        <v>000275</v>
      </c>
      <c r="T2" s="10">
        <v>43195</v>
      </c>
      <c r="U2" s="14">
        <v>10.20748</v>
      </c>
      <c r="V2" s="14">
        <v>0.33600000000000002</v>
      </c>
      <c r="W2" s="14">
        <v>9.87148</v>
      </c>
      <c r="X2" s="11">
        <v>5</v>
      </c>
      <c r="Y2" s="10">
        <v>43195</v>
      </c>
      <c r="Z2" s="11">
        <v>123456789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0.10207480000000001</v>
      </c>
      <c r="AG2" s="11" t="s">
        <v>45</v>
      </c>
    </row>
    <row r="3" spans="1:33" x14ac:dyDescent="0.2">
      <c r="A3" s="8">
        <v>611</v>
      </c>
      <c r="B3" s="9" t="s">
        <v>33</v>
      </c>
      <c r="C3" s="10">
        <v>43214</v>
      </c>
      <c r="D3" s="11">
        <v>59</v>
      </c>
      <c r="E3" s="12" t="s">
        <v>34</v>
      </c>
      <c r="F3" s="12" t="s">
        <v>34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48</v>
      </c>
      <c r="L3" s="11" t="str">
        <f>"000020"</f>
        <v>000020</v>
      </c>
      <c r="M3" s="10">
        <v>42514</v>
      </c>
      <c r="N3" s="11" t="str">
        <f>"000040"</f>
        <v>000040</v>
      </c>
      <c r="O3" s="10">
        <v>42579</v>
      </c>
      <c r="P3" s="11" t="str">
        <f>"000152"</f>
        <v>000152</v>
      </c>
      <c r="Q3" s="10">
        <v>42581</v>
      </c>
      <c r="R3" s="11">
        <v>16</v>
      </c>
      <c r="S3" s="11" t="str">
        <f>"000581"</f>
        <v>000581</v>
      </c>
      <c r="T3" s="10">
        <v>43203</v>
      </c>
      <c r="U3" s="14">
        <v>13.669639999999999</v>
      </c>
      <c r="V3" s="14">
        <v>1.00803</v>
      </c>
      <c r="W3" s="14">
        <v>12.66161</v>
      </c>
      <c r="X3" s="11">
        <v>23</v>
      </c>
      <c r="Y3" s="10">
        <v>43214</v>
      </c>
      <c r="Z3" s="11">
        <v>9986457680</v>
      </c>
      <c r="AA3" s="12" t="s">
        <v>49</v>
      </c>
      <c r="AB3" s="11" t="s">
        <v>50</v>
      </c>
      <c r="AC3" s="12" t="s">
        <v>51</v>
      </c>
      <c r="AD3" s="11" t="s">
        <v>43</v>
      </c>
      <c r="AE3" s="12" t="s">
        <v>44</v>
      </c>
      <c r="AF3" s="14">
        <v>0.1366964</v>
      </c>
      <c r="AG3" s="11" t="s">
        <v>45</v>
      </c>
    </row>
    <row r="4" spans="1:33" x14ac:dyDescent="0.2">
      <c r="A4" s="8">
        <v>612</v>
      </c>
      <c r="B4" s="9" t="s">
        <v>33</v>
      </c>
      <c r="C4" s="10">
        <v>43214</v>
      </c>
      <c r="D4" s="11">
        <v>59</v>
      </c>
      <c r="E4" s="12" t="s">
        <v>34</v>
      </c>
      <c r="F4" s="12" t="s">
        <v>34</v>
      </c>
      <c r="G4" s="12" t="s">
        <v>35</v>
      </c>
      <c r="H4" s="12" t="s">
        <v>36</v>
      </c>
      <c r="I4" s="11" t="s">
        <v>52</v>
      </c>
      <c r="J4" s="12" t="s">
        <v>53</v>
      </c>
      <c r="K4" s="13" t="s">
        <v>48</v>
      </c>
      <c r="L4" s="11" t="str">
        <f>"000039"</f>
        <v>000039</v>
      </c>
      <c r="M4" s="10">
        <v>42541</v>
      </c>
      <c r="N4" s="11" t="str">
        <f>"000041"</f>
        <v>000041</v>
      </c>
      <c r="O4" s="10">
        <v>42579</v>
      </c>
      <c r="P4" s="11" t="str">
        <f>"000153"</f>
        <v>000153</v>
      </c>
      <c r="Q4" s="10">
        <v>42581</v>
      </c>
      <c r="R4" s="11">
        <v>16</v>
      </c>
      <c r="S4" s="11" t="str">
        <f>"000582"</f>
        <v>000582</v>
      </c>
      <c r="T4" s="10">
        <v>43203</v>
      </c>
      <c r="U4" s="14">
        <v>8.5760699999999996</v>
      </c>
      <c r="V4" s="14">
        <v>0.63458000000000003</v>
      </c>
      <c r="W4" s="14">
        <v>7.9414899999999999</v>
      </c>
      <c r="X4" s="11">
        <v>23</v>
      </c>
      <c r="Y4" s="10">
        <v>43214</v>
      </c>
      <c r="Z4" s="11">
        <v>9986457680</v>
      </c>
      <c r="AA4" s="12" t="s">
        <v>54</v>
      </c>
      <c r="AB4" s="11" t="s">
        <v>50</v>
      </c>
      <c r="AC4" s="12" t="s">
        <v>51</v>
      </c>
      <c r="AD4" s="11" t="s">
        <v>43</v>
      </c>
      <c r="AE4" s="12" t="s">
        <v>44</v>
      </c>
      <c r="AF4" s="14">
        <v>8.5760699999999995E-2</v>
      </c>
      <c r="AG4" s="11" t="s">
        <v>45</v>
      </c>
    </row>
    <row r="5" spans="1:33" x14ac:dyDescent="0.2">
      <c r="A5" s="8">
        <v>816</v>
      </c>
      <c r="B5" s="9" t="s">
        <v>55</v>
      </c>
      <c r="C5" s="10">
        <v>43225</v>
      </c>
      <c r="D5" s="11">
        <v>59</v>
      </c>
      <c r="E5" s="12" t="s">
        <v>34</v>
      </c>
      <c r="F5" s="12" t="s">
        <v>34</v>
      </c>
      <c r="G5" s="12" t="s">
        <v>35</v>
      </c>
      <c r="H5" s="12" t="s">
        <v>36</v>
      </c>
      <c r="I5" s="11" t="s">
        <v>56</v>
      </c>
      <c r="J5" s="12" t="s">
        <v>57</v>
      </c>
      <c r="K5" s="13" t="s">
        <v>39</v>
      </c>
      <c r="L5" s="11" t="str">
        <f>"000223"</f>
        <v>000223</v>
      </c>
      <c r="M5" s="10">
        <v>42808</v>
      </c>
      <c r="N5" s="11" t="str">
        <f>"000176"</f>
        <v>000176</v>
      </c>
      <c r="O5" s="10">
        <v>42825</v>
      </c>
      <c r="P5" s="11" t="str">
        <f>"000543"</f>
        <v>000543</v>
      </c>
      <c r="Q5" s="10">
        <v>42825</v>
      </c>
      <c r="R5" s="11">
        <v>17</v>
      </c>
      <c r="S5" s="11" t="str">
        <f>"001027"</f>
        <v>001027</v>
      </c>
      <c r="T5" s="10">
        <v>43223</v>
      </c>
      <c r="U5" s="14">
        <v>4.74559</v>
      </c>
      <c r="V5" s="14">
        <v>0.35133999999999999</v>
      </c>
      <c r="W5" s="14">
        <v>4.3942500000000004</v>
      </c>
      <c r="X5" s="11">
        <v>38</v>
      </c>
      <c r="Y5" s="10">
        <v>43225</v>
      </c>
      <c r="Z5" s="11">
        <v>123456789</v>
      </c>
      <c r="AA5" s="12" t="s">
        <v>58</v>
      </c>
      <c r="AB5" s="11" t="s">
        <v>50</v>
      </c>
      <c r="AC5" s="12" t="s">
        <v>51</v>
      </c>
      <c r="AD5" s="11" t="s">
        <v>43</v>
      </c>
      <c r="AE5" s="12" t="s">
        <v>44</v>
      </c>
      <c r="AF5" s="14">
        <v>4.7455900000000002E-2</v>
      </c>
      <c r="AG5" s="11" t="s">
        <v>45</v>
      </c>
    </row>
    <row r="6" spans="1:33" x14ac:dyDescent="0.2">
      <c r="A6" s="8">
        <v>1303</v>
      </c>
      <c r="B6" s="9" t="s">
        <v>55</v>
      </c>
      <c r="C6" s="10">
        <v>43241</v>
      </c>
      <c r="D6" s="11">
        <v>59</v>
      </c>
      <c r="E6" s="12" t="s">
        <v>34</v>
      </c>
      <c r="F6" s="12" t="s">
        <v>34</v>
      </c>
      <c r="G6" s="12" t="s">
        <v>35</v>
      </c>
      <c r="H6" s="12" t="s">
        <v>36</v>
      </c>
      <c r="I6" s="11" t="s">
        <v>59</v>
      </c>
      <c r="J6" s="12" t="s">
        <v>60</v>
      </c>
      <c r="K6" s="13" t="s">
        <v>48</v>
      </c>
      <c r="L6" s="11" t="str">
        <f>"000007"</f>
        <v>000007</v>
      </c>
      <c r="M6" s="10">
        <v>43218</v>
      </c>
      <c r="N6" s="11" t="str">
        <f>"000011"</f>
        <v>000011</v>
      </c>
      <c r="O6" s="10">
        <v>43218</v>
      </c>
      <c r="P6" s="11" t="str">
        <f>"000017"</f>
        <v>000017</v>
      </c>
      <c r="Q6" s="10">
        <v>43218</v>
      </c>
      <c r="R6" s="11">
        <v>18</v>
      </c>
      <c r="S6" s="11" t="str">
        <f>"001509"</f>
        <v>001509</v>
      </c>
      <c r="T6" s="10">
        <v>43237</v>
      </c>
      <c r="U6" s="14">
        <v>27.99682</v>
      </c>
      <c r="V6" s="14">
        <v>2.8243399999999999</v>
      </c>
      <c r="W6" s="14">
        <v>25.17248</v>
      </c>
      <c r="X6" s="11">
        <v>54</v>
      </c>
      <c r="Y6" s="10">
        <v>43241</v>
      </c>
      <c r="Z6" s="11">
        <v>123456789</v>
      </c>
      <c r="AA6" s="12" t="s">
        <v>61</v>
      </c>
      <c r="AB6" s="11" t="s">
        <v>62</v>
      </c>
      <c r="AC6" s="12" t="s">
        <v>63</v>
      </c>
      <c r="AD6" s="11" t="s">
        <v>43</v>
      </c>
      <c r="AE6" s="12" t="s">
        <v>44</v>
      </c>
      <c r="AF6" s="14">
        <v>0.2799682</v>
      </c>
      <c r="AG6" s="11" t="s">
        <v>64</v>
      </c>
    </row>
    <row r="7" spans="1:33" x14ac:dyDescent="0.2">
      <c r="A7" s="8">
        <v>1304</v>
      </c>
      <c r="B7" s="9" t="s">
        <v>55</v>
      </c>
      <c r="C7" s="10">
        <v>43241</v>
      </c>
      <c r="D7" s="11">
        <v>59</v>
      </c>
      <c r="E7" s="12" t="s">
        <v>34</v>
      </c>
      <c r="F7" s="12" t="s">
        <v>34</v>
      </c>
      <c r="G7" s="12" t="s">
        <v>35</v>
      </c>
      <c r="H7" s="12" t="s">
        <v>36</v>
      </c>
      <c r="I7" s="11" t="s">
        <v>65</v>
      </c>
      <c r="J7" s="12" t="s">
        <v>66</v>
      </c>
      <c r="K7" s="13" t="s">
        <v>48</v>
      </c>
      <c r="L7" s="11" t="str">
        <f>"000008"</f>
        <v>000008</v>
      </c>
      <c r="M7" s="10">
        <v>43218</v>
      </c>
      <c r="N7" s="11" t="str">
        <f>"000012"</f>
        <v>000012</v>
      </c>
      <c r="O7" s="10">
        <v>43218</v>
      </c>
      <c r="P7" s="11" t="str">
        <f>"000018"</f>
        <v>000018</v>
      </c>
      <c r="Q7" s="10">
        <v>43218</v>
      </c>
      <c r="R7" s="11">
        <v>18</v>
      </c>
      <c r="S7" s="11" t="str">
        <f>"001510"</f>
        <v>001510</v>
      </c>
      <c r="T7" s="10">
        <v>43237</v>
      </c>
      <c r="U7" s="14">
        <v>25.991710000000001</v>
      </c>
      <c r="V7" s="14">
        <v>2.6030799999999998</v>
      </c>
      <c r="W7" s="14">
        <v>23.388629999999999</v>
      </c>
      <c r="X7" s="11">
        <v>54</v>
      </c>
      <c r="Y7" s="10">
        <v>43241</v>
      </c>
      <c r="Z7" s="11">
        <v>123456789</v>
      </c>
      <c r="AA7" s="12" t="s">
        <v>67</v>
      </c>
      <c r="AB7" s="11" t="s">
        <v>62</v>
      </c>
      <c r="AC7" s="12" t="s">
        <v>63</v>
      </c>
      <c r="AD7" s="11" t="s">
        <v>43</v>
      </c>
      <c r="AE7" s="12" t="s">
        <v>44</v>
      </c>
      <c r="AF7" s="14">
        <v>0.25991710000000001</v>
      </c>
      <c r="AG7" s="11" t="s">
        <v>64</v>
      </c>
    </row>
    <row r="8" spans="1:33" x14ac:dyDescent="0.2">
      <c r="A8" s="8">
        <v>1305</v>
      </c>
      <c r="B8" s="9" t="s">
        <v>55</v>
      </c>
      <c r="C8" s="10">
        <v>43241</v>
      </c>
      <c r="D8" s="11">
        <v>59</v>
      </c>
      <c r="E8" s="12" t="s">
        <v>34</v>
      </c>
      <c r="F8" s="12" t="s">
        <v>34</v>
      </c>
      <c r="G8" s="12" t="s">
        <v>35</v>
      </c>
      <c r="H8" s="12" t="s">
        <v>36</v>
      </c>
      <c r="I8" s="11" t="s">
        <v>68</v>
      </c>
      <c r="J8" s="12" t="s">
        <v>69</v>
      </c>
      <c r="K8" s="13" t="s">
        <v>48</v>
      </c>
      <c r="L8" s="11" t="str">
        <f>"000005"</f>
        <v>000005</v>
      </c>
      <c r="M8" s="10">
        <v>43218</v>
      </c>
      <c r="N8" s="11" t="str">
        <f>"000010"</f>
        <v>000010</v>
      </c>
      <c r="O8" s="10">
        <v>43218</v>
      </c>
      <c r="P8" s="11" t="str">
        <f>"000016"</f>
        <v>000016</v>
      </c>
      <c r="Q8" s="10">
        <v>43218</v>
      </c>
      <c r="R8" s="11">
        <v>18</v>
      </c>
      <c r="S8" s="11" t="str">
        <f>"001511"</f>
        <v>001511</v>
      </c>
      <c r="T8" s="10">
        <v>43237</v>
      </c>
      <c r="U8" s="14">
        <v>24.8018</v>
      </c>
      <c r="V8" s="14">
        <v>2.4495900000000002</v>
      </c>
      <c r="W8" s="14">
        <v>22.352209999999999</v>
      </c>
      <c r="X8" s="11">
        <v>54</v>
      </c>
      <c r="Y8" s="10">
        <v>43241</v>
      </c>
      <c r="Z8" s="11">
        <v>123456789</v>
      </c>
      <c r="AA8" s="12" t="s">
        <v>70</v>
      </c>
      <c r="AB8" s="11" t="s">
        <v>62</v>
      </c>
      <c r="AC8" s="12" t="s">
        <v>63</v>
      </c>
      <c r="AD8" s="11" t="s">
        <v>43</v>
      </c>
      <c r="AE8" s="12" t="s">
        <v>44</v>
      </c>
      <c r="AF8" s="14">
        <v>0.24801799999999999</v>
      </c>
      <c r="AG8" s="11" t="s">
        <v>64</v>
      </c>
    </row>
    <row r="9" spans="1:33" x14ac:dyDescent="0.2">
      <c r="A9" s="8">
        <v>1306</v>
      </c>
      <c r="B9" s="9" t="s">
        <v>55</v>
      </c>
      <c r="C9" s="10">
        <v>43241</v>
      </c>
      <c r="D9" s="11">
        <v>59</v>
      </c>
      <c r="E9" s="12" t="s">
        <v>34</v>
      </c>
      <c r="F9" s="12" t="s">
        <v>34</v>
      </c>
      <c r="G9" s="12" t="s">
        <v>35</v>
      </c>
      <c r="H9" s="12" t="s">
        <v>36</v>
      </c>
      <c r="I9" s="11" t="s">
        <v>71</v>
      </c>
      <c r="J9" s="12" t="s">
        <v>72</v>
      </c>
      <c r="K9" s="13" t="s">
        <v>48</v>
      </c>
      <c r="L9" s="11" t="str">
        <f>"000006"</f>
        <v>000006</v>
      </c>
      <c r="M9" s="10">
        <v>43218</v>
      </c>
      <c r="N9" s="11" t="str">
        <f>"000014"</f>
        <v>000014</v>
      </c>
      <c r="O9" s="10">
        <v>43218</v>
      </c>
      <c r="P9" s="11" t="str">
        <f>"000020"</f>
        <v>000020</v>
      </c>
      <c r="Q9" s="10">
        <v>43218</v>
      </c>
      <c r="R9" s="11">
        <v>18</v>
      </c>
      <c r="S9" s="11" t="str">
        <f>"001512"</f>
        <v>001512</v>
      </c>
      <c r="T9" s="10">
        <v>43237</v>
      </c>
      <c r="U9" s="14">
        <v>27.99438</v>
      </c>
      <c r="V9" s="14">
        <v>2.8572099999999998</v>
      </c>
      <c r="W9" s="14">
        <v>25.137170000000001</v>
      </c>
      <c r="X9" s="11">
        <v>54</v>
      </c>
      <c r="Y9" s="10">
        <v>43241</v>
      </c>
      <c r="Z9" s="11">
        <v>123456789</v>
      </c>
      <c r="AA9" s="12" t="s">
        <v>73</v>
      </c>
      <c r="AB9" s="11" t="s">
        <v>62</v>
      </c>
      <c r="AC9" s="12" t="s">
        <v>63</v>
      </c>
      <c r="AD9" s="11" t="s">
        <v>43</v>
      </c>
      <c r="AE9" s="12" t="s">
        <v>44</v>
      </c>
      <c r="AF9" s="14">
        <v>0.27994380000000002</v>
      </c>
      <c r="AG9" s="11" t="s">
        <v>64</v>
      </c>
    </row>
    <row r="10" spans="1:33" x14ac:dyDescent="0.2">
      <c r="A10" s="8">
        <v>1307</v>
      </c>
      <c r="B10" s="9" t="s">
        <v>55</v>
      </c>
      <c r="C10" s="10">
        <v>43241</v>
      </c>
      <c r="D10" s="11">
        <v>59</v>
      </c>
      <c r="E10" s="12" t="s">
        <v>34</v>
      </c>
      <c r="F10" s="12" t="s">
        <v>34</v>
      </c>
      <c r="G10" s="12" t="s">
        <v>35</v>
      </c>
      <c r="H10" s="12" t="s">
        <v>36</v>
      </c>
      <c r="I10" s="11" t="s">
        <v>74</v>
      </c>
      <c r="J10" s="12" t="s">
        <v>75</v>
      </c>
      <c r="K10" s="13" t="s">
        <v>48</v>
      </c>
      <c r="L10" s="11" t="str">
        <f>"000009"</f>
        <v>000009</v>
      </c>
      <c r="M10" s="10">
        <v>43218</v>
      </c>
      <c r="N10" s="11" t="str">
        <f>"000013"</f>
        <v>000013</v>
      </c>
      <c r="O10" s="10">
        <v>43218</v>
      </c>
      <c r="P10" s="11" t="str">
        <f>"000019"</f>
        <v>000019</v>
      </c>
      <c r="Q10" s="10">
        <v>43218</v>
      </c>
      <c r="R10" s="11">
        <v>18</v>
      </c>
      <c r="S10" s="11" t="str">
        <f>"001514"</f>
        <v>001514</v>
      </c>
      <c r="T10" s="10">
        <v>43237</v>
      </c>
      <c r="U10" s="14">
        <v>19.992830000000001</v>
      </c>
      <c r="V10" s="14">
        <v>1.9371400000000001</v>
      </c>
      <c r="W10" s="14">
        <v>18.055689999999998</v>
      </c>
      <c r="X10" s="11">
        <v>54</v>
      </c>
      <c r="Y10" s="10">
        <v>43241</v>
      </c>
      <c r="Z10" s="11">
        <v>123456789</v>
      </c>
      <c r="AA10" s="12" t="s">
        <v>67</v>
      </c>
      <c r="AB10" s="11" t="s">
        <v>62</v>
      </c>
      <c r="AC10" s="12" t="s">
        <v>63</v>
      </c>
      <c r="AD10" s="11" t="s">
        <v>43</v>
      </c>
      <c r="AE10" s="12" t="s">
        <v>44</v>
      </c>
      <c r="AF10" s="14">
        <v>0.1999283</v>
      </c>
      <c r="AG10" s="11" t="s">
        <v>64</v>
      </c>
    </row>
    <row r="11" spans="1:33" x14ac:dyDescent="0.2">
      <c r="A11" s="8">
        <v>1308</v>
      </c>
      <c r="B11" s="9" t="s">
        <v>55</v>
      </c>
      <c r="C11" s="10">
        <v>43241</v>
      </c>
      <c r="D11" s="11">
        <v>59</v>
      </c>
      <c r="E11" s="12" t="s">
        <v>34</v>
      </c>
      <c r="F11" s="12" t="s">
        <v>34</v>
      </c>
      <c r="G11" s="12" t="s">
        <v>35</v>
      </c>
      <c r="H11" s="12" t="s">
        <v>36</v>
      </c>
      <c r="I11" s="11" t="s">
        <v>76</v>
      </c>
      <c r="J11" s="12" t="s">
        <v>77</v>
      </c>
      <c r="K11" s="13" t="s">
        <v>78</v>
      </c>
      <c r="L11" s="11" t="str">
        <f>"000010"</f>
        <v>000010</v>
      </c>
      <c r="M11" s="10">
        <v>43218</v>
      </c>
      <c r="N11" s="11" t="str">
        <f>"000015"</f>
        <v>000015</v>
      </c>
      <c r="O11" s="10">
        <v>43218</v>
      </c>
      <c r="P11" s="11" t="str">
        <f>"000021"</f>
        <v>000021</v>
      </c>
      <c r="Q11" s="10">
        <v>43218</v>
      </c>
      <c r="R11" s="11">
        <v>18</v>
      </c>
      <c r="S11" s="11" t="str">
        <f>"001515"</f>
        <v>001515</v>
      </c>
      <c r="T11" s="10">
        <v>43237</v>
      </c>
      <c r="U11" s="14">
        <v>29.9955</v>
      </c>
      <c r="V11" s="14">
        <v>3.0295000000000001</v>
      </c>
      <c r="W11" s="14">
        <v>26.966000000000001</v>
      </c>
      <c r="X11" s="11">
        <v>54</v>
      </c>
      <c r="Y11" s="10">
        <v>43241</v>
      </c>
      <c r="Z11" s="11">
        <v>123456789</v>
      </c>
      <c r="AA11" s="12" t="s">
        <v>79</v>
      </c>
      <c r="AB11" s="11" t="s">
        <v>62</v>
      </c>
      <c r="AC11" s="12" t="s">
        <v>63</v>
      </c>
      <c r="AD11" s="11" t="s">
        <v>43</v>
      </c>
      <c r="AE11" s="12" t="s">
        <v>44</v>
      </c>
      <c r="AF11" s="14">
        <v>0.29995499999999997</v>
      </c>
      <c r="AG11" s="11" t="s">
        <v>64</v>
      </c>
    </row>
    <row r="12" spans="1:33" x14ac:dyDescent="0.2">
      <c r="A12" s="8">
        <v>1423</v>
      </c>
      <c r="B12" s="9" t="s">
        <v>55</v>
      </c>
      <c r="C12" s="10">
        <v>43242</v>
      </c>
      <c r="D12" s="11">
        <v>59</v>
      </c>
      <c r="E12" s="12" t="s">
        <v>34</v>
      </c>
      <c r="F12" s="12" t="s">
        <v>34</v>
      </c>
      <c r="G12" s="12" t="s">
        <v>35</v>
      </c>
      <c r="H12" s="12" t="s">
        <v>36</v>
      </c>
      <c r="I12" s="11" t="s">
        <v>80</v>
      </c>
      <c r="J12" s="12" t="s">
        <v>81</v>
      </c>
      <c r="K12" s="13" t="s">
        <v>78</v>
      </c>
      <c r="L12" s="11" t="str">
        <f>"000149"</f>
        <v>000149</v>
      </c>
      <c r="M12" s="10">
        <v>43075</v>
      </c>
      <c r="N12" s="11" t="str">
        <f>"000009"</f>
        <v>000009</v>
      </c>
      <c r="O12" s="10">
        <v>43216</v>
      </c>
      <c r="P12" s="11" t="str">
        <f>"000015"</f>
        <v>000015</v>
      </c>
      <c r="Q12" s="10">
        <v>43216</v>
      </c>
      <c r="R12" s="11">
        <v>18</v>
      </c>
      <c r="S12" s="11" t="str">
        <f>"001590"</f>
        <v>001590</v>
      </c>
      <c r="T12" s="10">
        <v>43238</v>
      </c>
      <c r="U12" s="14">
        <v>19.923500000000001</v>
      </c>
      <c r="V12" s="14">
        <v>1.90307</v>
      </c>
      <c r="W12" s="14">
        <v>18.020430000000001</v>
      </c>
      <c r="X12" s="11">
        <v>61</v>
      </c>
      <c r="Y12" s="10">
        <v>43242</v>
      </c>
      <c r="Z12" s="11">
        <v>123456789</v>
      </c>
      <c r="AA12" s="12" t="s">
        <v>82</v>
      </c>
      <c r="AB12" s="11" t="s">
        <v>83</v>
      </c>
      <c r="AC12" s="12" t="s">
        <v>84</v>
      </c>
      <c r="AD12" s="11" t="s">
        <v>43</v>
      </c>
      <c r="AE12" s="12" t="s">
        <v>44</v>
      </c>
      <c r="AF12" s="14">
        <v>0.199235</v>
      </c>
      <c r="AG12" s="11" t="s">
        <v>85</v>
      </c>
    </row>
    <row r="13" spans="1:33" x14ac:dyDescent="0.2">
      <c r="A13" s="8">
        <v>1424</v>
      </c>
      <c r="B13" s="9" t="s">
        <v>55</v>
      </c>
      <c r="C13" s="10">
        <v>43242</v>
      </c>
      <c r="D13" s="11">
        <v>59</v>
      </c>
      <c r="E13" s="12" t="s">
        <v>34</v>
      </c>
      <c r="F13" s="12" t="s">
        <v>34</v>
      </c>
      <c r="G13" s="12" t="s">
        <v>35</v>
      </c>
      <c r="H13" s="12" t="s">
        <v>36</v>
      </c>
      <c r="I13" s="11" t="s">
        <v>86</v>
      </c>
      <c r="J13" s="12" t="s">
        <v>87</v>
      </c>
      <c r="K13" s="13" t="s">
        <v>78</v>
      </c>
      <c r="L13" s="11" t="str">
        <f>"000150"</f>
        <v>000150</v>
      </c>
      <c r="M13" s="10">
        <v>43075</v>
      </c>
      <c r="N13" s="11" t="str">
        <f>"000007"</f>
        <v>000007</v>
      </c>
      <c r="O13" s="10">
        <v>43215</v>
      </c>
      <c r="P13" s="11" t="str">
        <f>"000013"</f>
        <v>000013</v>
      </c>
      <c r="Q13" s="10">
        <v>43215</v>
      </c>
      <c r="R13" s="11">
        <v>18</v>
      </c>
      <c r="S13" s="11" t="str">
        <f>"001591"</f>
        <v>001591</v>
      </c>
      <c r="T13" s="10">
        <v>43238</v>
      </c>
      <c r="U13" s="14">
        <v>19.953240000000001</v>
      </c>
      <c r="V13" s="14">
        <v>1.90222</v>
      </c>
      <c r="W13" s="14">
        <v>18.051020000000001</v>
      </c>
      <c r="X13" s="11">
        <v>61</v>
      </c>
      <c r="Y13" s="10">
        <v>43242</v>
      </c>
      <c r="Z13" s="11">
        <v>123456789</v>
      </c>
      <c r="AA13" s="12" t="s">
        <v>88</v>
      </c>
      <c r="AB13" s="11" t="s">
        <v>83</v>
      </c>
      <c r="AC13" s="12" t="s">
        <v>84</v>
      </c>
      <c r="AD13" s="11" t="s">
        <v>43</v>
      </c>
      <c r="AE13" s="12" t="s">
        <v>44</v>
      </c>
      <c r="AF13" s="14">
        <v>0.1995324</v>
      </c>
      <c r="AG13" s="11" t="s">
        <v>85</v>
      </c>
    </row>
    <row r="14" spans="1:33" x14ac:dyDescent="0.2">
      <c r="A14" s="8">
        <v>1425</v>
      </c>
      <c r="B14" s="9" t="s">
        <v>55</v>
      </c>
      <c r="C14" s="10">
        <v>43242</v>
      </c>
      <c r="D14" s="11">
        <v>59</v>
      </c>
      <c r="E14" s="12" t="s">
        <v>34</v>
      </c>
      <c r="F14" s="12" t="s">
        <v>34</v>
      </c>
      <c r="G14" s="12" t="s">
        <v>35</v>
      </c>
      <c r="H14" s="12" t="s">
        <v>36</v>
      </c>
      <c r="I14" s="11" t="s">
        <v>89</v>
      </c>
      <c r="J14" s="12" t="s">
        <v>90</v>
      </c>
      <c r="K14" s="13" t="s">
        <v>78</v>
      </c>
      <c r="L14" s="11" t="str">
        <f>"000153"</f>
        <v>000153</v>
      </c>
      <c r="M14" s="10">
        <v>43083</v>
      </c>
      <c r="N14" s="11" t="str">
        <f>"000008"</f>
        <v>000008</v>
      </c>
      <c r="O14" s="10">
        <v>43215</v>
      </c>
      <c r="P14" s="11" t="str">
        <f>"000014"</f>
        <v>000014</v>
      </c>
      <c r="Q14" s="10">
        <v>43216</v>
      </c>
      <c r="R14" s="11">
        <v>18</v>
      </c>
      <c r="S14" s="11" t="str">
        <f>"001593"</f>
        <v>001593</v>
      </c>
      <c r="T14" s="10">
        <v>43238</v>
      </c>
      <c r="U14" s="14">
        <v>39.892119999999998</v>
      </c>
      <c r="V14" s="14">
        <v>3.69651</v>
      </c>
      <c r="W14" s="14">
        <v>36.195610000000002</v>
      </c>
      <c r="X14" s="11">
        <v>61</v>
      </c>
      <c r="Y14" s="10">
        <v>43242</v>
      </c>
      <c r="Z14" s="11">
        <v>123456789</v>
      </c>
      <c r="AA14" s="12" t="s">
        <v>82</v>
      </c>
      <c r="AB14" s="11" t="s">
        <v>83</v>
      </c>
      <c r="AC14" s="12" t="s">
        <v>84</v>
      </c>
      <c r="AD14" s="11" t="s">
        <v>43</v>
      </c>
      <c r="AE14" s="12" t="s">
        <v>44</v>
      </c>
      <c r="AF14" s="14">
        <v>0.39892119999999998</v>
      </c>
      <c r="AG14" s="11" t="s">
        <v>85</v>
      </c>
    </row>
    <row r="15" spans="1:33" x14ac:dyDescent="0.2">
      <c r="A15" s="8">
        <v>1782</v>
      </c>
      <c r="B15" s="9" t="s">
        <v>91</v>
      </c>
      <c r="C15" s="10">
        <v>43257</v>
      </c>
      <c r="D15" s="11">
        <v>59</v>
      </c>
      <c r="E15" s="12" t="s">
        <v>34</v>
      </c>
      <c r="F15" s="12" t="s">
        <v>34</v>
      </c>
      <c r="G15" s="12" t="s">
        <v>35</v>
      </c>
      <c r="H15" s="12" t="s">
        <v>36</v>
      </c>
      <c r="I15" s="11" t="s">
        <v>92</v>
      </c>
      <c r="J15" s="12" t="s">
        <v>93</v>
      </c>
      <c r="K15" s="13" t="s">
        <v>48</v>
      </c>
      <c r="L15" s="11" t="str">
        <f>"000236"</f>
        <v>000236</v>
      </c>
      <c r="M15" s="10">
        <v>43123</v>
      </c>
      <c r="N15" s="11" t="str">
        <f>"000087"</f>
        <v>000087</v>
      </c>
      <c r="O15" s="10">
        <v>43123</v>
      </c>
      <c r="P15" s="11" t="str">
        <f>"000333"</f>
        <v>000333</v>
      </c>
      <c r="Q15" s="10">
        <v>43123</v>
      </c>
      <c r="R15" s="11">
        <v>16</v>
      </c>
      <c r="S15" s="11" t="str">
        <f>"002004"</f>
        <v>002004</v>
      </c>
      <c r="T15" s="10">
        <v>43246</v>
      </c>
      <c r="U15" s="14">
        <v>14.474399999999999</v>
      </c>
      <c r="V15" s="14">
        <v>1.6033299999999999</v>
      </c>
      <c r="W15" s="14">
        <v>12.87107</v>
      </c>
      <c r="X15" s="11">
        <v>70</v>
      </c>
      <c r="Y15" s="10">
        <v>43257</v>
      </c>
      <c r="Z15" s="11">
        <v>123456789</v>
      </c>
      <c r="AA15" s="12" t="s">
        <v>94</v>
      </c>
      <c r="AB15" s="11" t="s">
        <v>95</v>
      </c>
      <c r="AC15" s="12" t="s">
        <v>96</v>
      </c>
      <c r="AD15" s="11" t="s">
        <v>43</v>
      </c>
      <c r="AE15" s="12" t="s">
        <v>44</v>
      </c>
      <c r="AF15" s="14">
        <v>0.14474399999999998</v>
      </c>
      <c r="AG15" s="11" t="s">
        <v>45</v>
      </c>
    </row>
    <row r="16" spans="1:33" x14ac:dyDescent="0.2">
      <c r="A16" s="8">
        <v>2141</v>
      </c>
      <c r="B16" s="9" t="s">
        <v>91</v>
      </c>
      <c r="C16" s="10">
        <v>43265</v>
      </c>
      <c r="D16" s="11">
        <v>59</v>
      </c>
      <c r="E16" s="12" t="s">
        <v>34</v>
      </c>
      <c r="F16" s="12" t="s">
        <v>34</v>
      </c>
      <c r="G16" s="12" t="s">
        <v>35</v>
      </c>
      <c r="H16" s="12" t="s">
        <v>36</v>
      </c>
      <c r="I16" s="11" t="s">
        <v>97</v>
      </c>
      <c r="J16" s="12" t="s">
        <v>98</v>
      </c>
      <c r="K16" s="13" t="s">
        <v>78</v>
      </c>
      <c r="L16" s="11" t="str">
        <f>"000170"</f>
        <v>000170</v>
      </c>
      <c r="M16" s="10">
        <v>43245</v>
      </c>
      <c r="N16" s="11" t="str">
        <f>"000036"</f>
        <v>000036</v>
      </c>
      <c r="O16" s="10">
        <v>43245</v>
      </c>
      <c r="P16" s="11" t="str">
        <f>"000036"</f>
        <v>000036</v>
      </c>
      <c r="Q16" s="10">
        <v>43245</v>
      </c>
      <c r="R16" s="11">
        <v>17</v>
      </c>
      <c r="S16" s="11" t="str">
        <f>"002465"</f>
        <v>002465</v>
      </c>
      <c r="T16" s="10">
        <v>43263</v>
      </c>
      <c r="U16" s="14">
        <v>6.6557000000000004</v>
      </c>
      <c r="V16" s="14">
        <v>0.21199999999999999</v>
      </c>
      <c r="W16" s="14">
        <v>6.4436999999999998</v>
      </c>
      <c r="X16" s="11">
        <v>84</v>
      </c>
      <c r="Y16" s="10">
        <v>43265</v>
      </c>
      <c r="Z16" s="11">
        <v>9880801223</v>
      </c>
      <c r="AA16" s="12" t="s">
        <v>99</v>
      </c>
      <c r="AB16" s="11" t="s">
        <v>41</v>
      </c>
      <c r="AC16" s="12" t="s">
        <v>42</v>
      </c>
      <c r="AD16" s="11" t="s">
        <v>100</v>
      </c>
      <c r="AE16" s="12" t="s">
        <v>101</v>
      </c>
      <c r="AF16" s="14">
        <v>6.6557000000000005E-2</v>
      </c>
      <c r="AG16" s="11" t="s">
        <v>64</v>
      </c>
    </row>
    <row r="17" spans="1:33" x14ac:dyDescent="0.2">
      <c r="A17" s="8">
        <v>2833</v>
      </c>
      <c r="B17" s="9" t="s">
        <v>102</v>
      </c>
      <c r="C17" s="10">
        <v>43283</v>
      </c>
      <c r="D17" s="11">
        <v>59</v>
      </c>
      <c r="E17" s="12" t="s">
        <v>34</v>
      </c>
      <c r="F17" s="12" t="s">
        <v>34</v>
      </c>
      <c r="G17" s="12" t="s">
        <v>35</v>
      </c>
      <c r="H17" s="12" t="s">
        <v>36</v>
      </c>
      <c r="I17" s="11" t="s">
        <v>103</v>
      </c>
      <c r="J17" s="12" t="s">
        <v>104</v>
      </c>
      <c r="K17" s="13" t="s">
        <v>39</v>
      </c>
      <c r="L17" s="11" t="str">
        <f>"000038"</f>
        <v>000038</v>
      </c>
      <c r="M17" s="10">
        <v>43269</v>
      </c>
      <c r="N17" s="11" t="str">
        <f>"000032"</f>
        <v>000032</v>
      </c>
      <c r="O17" s="10">
        <v>43269</v>
      </c>
      <c r="P17" s="11" t="str">
        <f>"000070"</f>
        <v>000070</v>
      </c>
      <c r="Q17" s="10">
        <v>43269</v>
      </c>
      <c r="R17" s="11">
        <v>18</v>
      </c>
      <c r="S17" s="11" t="str">
        <f>"003201"</f>
        <v>003201</v>
      </c>
      <c r="T17" s="10">
        <v>43281</v>
      </c>
      <c r="U17" s="14">
        <v>83.320409999999995</v>
      </c>
      <c r="V17" s="14">
        <v>10.138999999999999</v>
      </c>
      <c r="W17" s="14">
        <v>73.18141</v>
      </c>
      <c r="X17" s="11">
        <v>104</v>
      </c>
      <c r="Y17" s="10">
        <v>43283</v>
      </c>
      <c r="Z17" s="11">
        <v>123456789</v>
      </c>
      <c r="AA17" s="12" t="s">
        <v>105</v>
      </c>
      <c r="AB17" s="11" t="s">
        <v>62</v>
      </c>
      <c r="AC17" s="12" t="s">
        <v>63</v>
      </c>
      <c r="AD17" s="11" t="s">
        <v>43</v>
      </c>
      <c r="AE17" s="12" t="s">
        <v>44</v>
      </c>
      <c r="AF17" s="14">
        <v>0.8332041</v>
      </c>
      <c r="AG17" s="11" t="s">
        <v>64</v>
      </c>
    </row>
    <row r="18" spans="1:33" x14ac:dyDescent="0.2">
      <c r="A18" s="8">
        <v>2834</v>
      </c>
      <c r="B18" s="9" t="s">
        <v>102</v>
      </c>
      <c r="C18" s="10">
        <v>43283</v>
      </c>
      <c r="D18" s="11">
        <v>59</v>
      </c>
      <c r="E18" s="12" t="s">
        <v>34</v>
      </c>
      <c r="F18" s="12" t="s">
        <v>34</v>
      </c>
      <c r="G18" s="12" t="s">
        <v>35</v>
      </c>
      <c r="H18" s="12" t="s">
        <v>36</v>
      </c>
      <c r="I18" s="11" t="s">
        <v>106</v>
      </c>
      <c r="J18" s="12" t="s">
        <v>107</v>
      </c>
      <c r="K18" s="13" t="s">
        <v>108</v>
      </c>
      <c r="L18" s="11" t="str">
        <f>"000054"</f>
        <v>000054</v>
      </c>
      <c r="M18" s="10">
        <v>43185</v>
      </c>
      <c r="N18" s="11" t="str">
        <f>"000034"</f>
        <v>000034</v>
      </c>
      <c r="O18" s="10">
        <v>43190</v>
      </c>
      <c r="P18" s="11" t="str">
        <f>"000012"</f>
        <v>000012</v>
      </c>
      <c r="Q18" s="10">
        <v>43262</v>
      </c>
      <c r="R18" s="11">
        <v>18</v>
      </c>
      <c r="S18" s="11" t="str">
        <f>"003202"</f>
        <v>003202</v>
      </c>
      <c r="T18" s="10">
        <v>43281</v>
      </c>
      <c r="U18" s="14">
        <v>14.936</v>
      </c>
      <c r="V18" s="14">
        <v>1.3599000000000001</v>
      </c>
      <c r="W18" s="14">
        <v>13.5761</v>
      </c>
      <c r="X18" s="11">
        <v>104</v>
      </c>
      <c r="Y18" s="10">
        <v>43283</v>
      </c>
      <c r="Z18" s="11">
        <v>8022975815</v>
      </c>
      <c r="AA18" s="12" t="s">
        <v>109</v>
      </c>
      <c r="AB18" s="11" t="s">
        <v>62</v>
      </c>
      <c r="AC18" s="12" t="s">
        <v>63</v>
      </c>
      <c r="AD18" s="11" t="s">
        <v>110</v>
      </c>
      <c r="AE18" s="12" t="s">
        <v>111</v>
      </c>
      <c r="AF18" s="14">
        <v>0.14935999999999999</v>
      </c>
      <c r="AG18" s="11" t="s">
        <v>85</v>
      </c>
    </row>
    <row r="19" spans="1:33" x14ac:dyDescent="0.2">
      <c r="A19" s="8">
        <v>3210</v>
      </c>
      <c r="B19" s="9" t="s">
        <v>102</v>
      </c>
      <c r="C19" s="10">
        <v>43291</v>
      </c>
      <c r="D19" s="11">
        <v>59</v>
      </c>
      <c r="E19" s="12" t="s">
        <v>34</v>
      </c>
      <c r="F19" s="12" t="s">
        <v>34</v>
      </c>
      <c r="G19" s="12" t="s">
        <v>35</v>
      </c>
      <c r="H19" s="12" t="s">
        <v>36</v>
      </c>
      <c r="I19" s="11" t="s">
        <v>112</v>
      </c>
      <c r="J19" s="12" t="s">
        <v>113</v>
      </c>
      <c r="K19" s="13" t="s">
        <v>48</v>
      </c>
      <c r="L19" s="11" t="str">
        <f>"000042"</f>
        <v>000042</v>
      </c>
      <c r="M19" s="10">
        <v>43271</v>
      </c>
      <c r="N19" s="11" t="str">
        <f>"000035"</f>
        <v>000035</v>
      </c>
      <c r="O19" s="10">
        <v>43271</v>
      </c>
      <c r="P19" s="11" t="str">
        <f>"000080"</f>
        <v>000080</v>
      </c>
      <c r="Q19" s="10">
        <v>43271</v>
      </c>
      <c r="R19" s="11">
        <v>18</v>
      </c>
      <c r="S19" s="11" t="str">
        <f>"003451"</f>
        <v>003451</v>
      </c>
      <c r="T19" s="10">
        <v>43290</v>
      </c>
      <c r="U19" s="14">
        <v>19.975239999999999</v>
      </c>
      <c r="V19" s="14">
        <v>1.9735</v>
      </c>
      <c r="W19" s="14">
        <v>18.001740000000002</v>
      </c>
      <c r="X19" s="11">
        <v>118</v>
      </c>
      <c r="Y19" s="10">
        <v>43291</v>
      </c>
      <c r="Z19" s="11">
        <v>123456789</v>
      </c>
      <c r="AA19" s="12" t="s">
        <v>79</v>
      </c>
      <c r="AB19" s="11" t="s">
        <v>62</v>
      </c>
      <c r="AC19" s="12" t="s">
        <v>63</v>
      </c>
      <c r="AD19" s="11" t="s">
        <v>43</v>
      </c>
      <c r="AE19" s="12" t="s">
        <v>44</v>
      </c>
      <c r="AF19" s="14">
        <v>0.1997524</v>
      </c>
      <c r="AG19" s="11" t="s">
        <v>64</v>
      </c>
    </row>
    <row r="20" spans="1:33" x14ac:dyDescent="0.2">
      <c r="A20" s="8">
        <v>3285</v>
      </c>
      <c r="B20" s="9" t="s">
        <v>102</v>
      </c>
      <c r="C20" s="10">
        <v>43297</v>
      </c>
      <c r="D20" s="11">
        <v>59</v>
      </c>
      <c r="E20" s="12" t="s">
        <v>34</v>
      </c>
      <c r="F20" s="12" t="s">
        <v>34</v>
      </c>
      <c r="G20" s="12" t="s">
        <v>35</v>
      </c>
      <c r="H20" s="12" t="s">
        <v>36</v>
      </c>
      <c r="I20" s="11" t="s">
        <v>114</v>
      </c>
      <c r="J20" s="12" t="s">
        <v>115</v>
      </c>
      <c r="K20" s="13" t="s">
        <v>116</v>
      </c>
      <c r="L20" s="11" t="str">
        <f>"000003"</f>
        <v>000003</v>
      </c>
      <c r="M20" s="10">
        <v>42472</v>
      </c>
      <c r="N20" s="11" t="str">
        <f>"000125"</f>
        <v>000125</v>
      </c>
      <c r="O20" s="10">
        <v>42732</v>
      </c>
      <c r="P20" s="11" t="str">
        <f>"000343"</f>
        <v>000343</v>
      </c>
      <c r="Q20" s="10">
        <v>42732</v>
      </c>
      <c r="R20" s="11">
        <v>16</v>
      </c>
      <c r="S20" s="11" t="str">
        <f>"003472"</f>
        <v>003472</v>
      </c>
      <c r="T20" s="10">
        <v>43291</v>
      </c>
      <c r="U20" s="14">
        <v>6.7677300000000002</v>
      </c>
      <c r="V20" s="14">
        <v>0.41599999999999998</v>
      </c>
      <c r="W20" s="14">
        <v>6.3517299999999999</v>
      </c>
      <c r="X20" s="11">
        <v>125</v>
      </c>
      <c r="Y20" s="10">
        <v>43297</v>
      </c>
      <c r="Z20" s="11">
        <v>8123609166</v>
      </c>
      <c r="AA20" s="12" t="s">
        <v>117</v>
      </c>
      <c r="AB20" s="11" t="s">
        <v>50</v>
      </c>
      <c r="AC20" s="12" t="s">
        <v>51</v>
      </c>
      <c r="AD20" s="11" t="s">
        <v>43</v>
      </c>
      <c r="AE20" s="12" t="s">
        <v>44</v>
      </c>
      <c r="AF20" s="14">
        <v>6.7677299999999996E-2</v>
      </c>
      <c r="AG20" s="11" t="s">
        <v>45</v>
      </c>
    </row>
    <row r="21" spans="1:33" x14ac:dyDescent="0.2">
      <c r="A21" s="8">
        <v>3483</v>
      </c>
      <c r="B21" s="9" t="s">
        <v>102</v>
      </c>
      <c r="C21" s="10">
        <v>43299</v>
      </c>
      <c r="D21" s="11">
        <v>59</v>
      </c>
      <c r="E21" s="12" t="s">
        <v>34</v>
      </c>
      <c r="F21" s="12" t="s">
        <v>34</v>
      </c>
      <c r="G21" s="12" t="s">
        <v>35</v>
      </c>
      <c r="H21" s="12" t="s">
        <v>36</v>
      </c>
      <c r="I21" s="11" t="s">
        <v>118</v>
      </c>
      <c r="J21" s="12" t="s">
        <v>119</v>
      </c>
      <c r="K21" s="13" t="s">
        <v>78</v>
      </c>
      <c r="L21" s="11" t="str">
        <f>"000031"</f>
        <v>000031</v>
      </c>
      <c r="M21" s="10">
        <v>43054</v>
      </c>
      <c r="N21" s="11" t="str">
        <f>"000074"</f>
        <v>000074</v>
      </c>
      <c r="O21" s="10">
        <v>43090</v>
      </c>
      <c r="P21" s="11" t="str">
        <f>"000063"</f>
        <v>000063</v>
      </c>
      <c r="Q21" s="10">
        <v>43090</v>
      </c>
      <c r="R21" s="11">
        <v>16</v>
      </c>
      <c r="S21" s="11" t="str">
        <f>"004453"</f>
        <v>004453</v>
      </c>
      <c r="T21" s="10">
        <v>43307</v>
      </c>
      <c r="U21" s="14">
        <v>10.557270000000001</v>
      </c>
      <c r="V21" s="14">
        <v>0.74990000000000001</v>
      </c>
      <c r="W21" s="14">
        <v>9.8073700000000006</v>
      </c>
      <c r="X21" s="11">
        <v>127</v>
      </c>
      <c r="Y21" s="10">
        <v>43299</v>
      </c>
      <c r="Z21" s="11">
        <v>9972630496</v>
      </c>
      <c r="AA21" s="12" t="s">
        <v>120</v>
      </c>
      <c r="AB21" s="11" t="s">
        <v>121</v>
      </c>
      <c r="AC21" s="12" t="s">
        <v>122</v>
      </c>
      <c r="AD21" s="11" t="s">
        <v>100</v>
      </c>
      <c r="AE21" s="12" t="s">
        <v>101</v>
      </c>
      <c r="AF21" s="14">
        <v>0.10557270000000001</v>
      </c>
      <c r="AG21" s="11" t="s">
        <v>45</v>
      </c>
    </row>
    <row r="22" spans="1:33" x14ac:dyDescent="0.2">
      <c r="A22" s="8">
        <v>3484</v>
      </c>
      <c r="B22" s="9" t="s">
        <v>102</v>
      </c>
      <c r="C22" s="10">
        <v>43299</v>
      </c>
      <c r="D22" s="11">
        <v>59</v>
      </c>
      <c r="E22" s="12" t="s">
        <v>34</v>
      </c>
      <c r="F22" s="12" t="s">
        <v>34</v>
      </c>
      <c r="G22" s="12" t="s">
        <v>35</v>
      </c>
      <c r="H22" s="12" t="s">
        <v>36</v>
      </c>
      <c r="I22" s="11" t="s">
        <v>123</v>
      </c>
      <c r="J22" s="12" t="s">
        <v>124</v>
      </c>
      <c r="K22" s="13" t="s">
        <v>78</v>
      </c>
      <c r="L22" s="11" t="str">
        <f>"000054"</f>
        <v>000054</v>
      </c>
      <c r="M22" s="10">
        <v>41235</v>
      </c>
      <c r="N22" s="11" t="str">
        <f>"000104"</f>
        <v>000104</v>
      </c>
      <c r="O22" s="10">
        <v>43108</v>
      </c>
      <c r="P22" s="11" t="str">
        <f>"000093"</f>
        <v>000093</v>
      </c>
      <c r="Q22" s="10">
        <v>43108</v>
      </c>
      <c r="R22" s="11">
        <v>12</v>
      </c>
      <c r="S22" s="11" t="str">
        <f>"003721"</f>
        <v>003721</v>
      </c>
      <c r="T22" s="10">
        <v>43294</v>
      </c>
      <c r="U22" s="14">
        <v>5.6231299999999997</v>
      </c>
      <c r="V22" s="14">
        <v>0.70479999999999998</v>
      </c>
      <c r="W22" s="14">
        <v>4.9183300000000001</v>
      </c>
      <c r="X22" s="11">
        <v>127</v>
      </c>
      <c r="Y22" s="10">
        <v>43299</v>
      </c>
      <c r="Z22" s="11">
        <v>9880801223</v>
      </c>
      <c r="AA22" s="12" t="s">
        <v>125</v>
      </c>
      <c r="AB22" s="11" t="s">
        <v>121</v>
      </c>
      <c r="AC22" s="12" t="s">
        <v>122</v>
      </c>
      <c r="AD22" s="11" t="s">
        <v>100</v>
      </c>
      <c r="AE22" s="12" t="s">
        <v>101</v>
      </c>
      <c r="AF22" s="14">
        <v>5.6231299999999998E-2</v>
      </c>
      <c r="AG22" s="11" t="s">
        <v>45</v>
      </c>
    </row>
    <row r="23" spans="1:33" x14ac:dyDescent="0.2">
      <c r="A23" s="8">
        <v>3485</v>
      </c>
      <c r="B23" s="9" t="s">
        <v>102</v>
      </c>
      <c r="C23" s="10">
        <v>43299</v>
      </c>
      <c r="D23" s="11">
        <v>59</v>
      </c>
      <c r="E23" s="12" t="s">
        <v>34</v>
      </c>
      <c r="F23" s="12" t="s">
        <v>34</v>
      </c>
      <c r="G23" s="12" t="s">
        <v>35</v>
      </c>
      <c r="H23" s="12" t="s">
        <v>36</v>
      </c>
      <c r="I23" s="11" t="s">
        <v>126</v>
      </c>
      <c r="J23" s="12" t="s">
        <v>127</v>
      </c>
      <c r="K23" s="13" t="s">
        <v>48</v>
      </c>
      <c r="L23" s="11" t="str">
        <f>"000094"</f>
        <v>000094</v>
      </c>
      <c r="M23" s="10">
        <v>42565</v>
      </c>
      <c r="N23" s="11" t="str">
        <f>"000150"</f>
        <v>000150</v>
      </c>
      <c r="O23" s="10">
        <v>42755</v>
      </c>
      <c r="P23" s="11" t="str">
        <f>"000406"</f>
        <v>000406</v>
      </c>
      <c r="Q23" s="10">
        <v>42757</v>
      </c>
      <c r="R23" s="11">
        <v>16</v>
      </c>
      <c r="S23" s="11" t="str">
        <f>"003855"</f>
        <v>003855</v>
      </c>
      <c r="T23" s="10">
        <v>43297</v>
      </c>
      <c r="U23" s="14">
        <v>19.566680000000002</v>
      </c>
      <c r="V23" s="14">
        <v>1.464</v>
      </c>
      <c r="W23" s="14">
        <v>18.102679999999999</v>
      </c>
      <c r="X23" s="11">
        <v>128</v>
      </c>
      <c r="Y23" s="10">
        <v>43299</v>
      </c>
      <c r="Z23" s="11">
        <v>123456789</v>
      </c>
      <c r="AA23" s="12" t="s">
        <v>128</v>
      </c>
      <c r="AB23" s="11" t="s">
        <v>50</v>
      </c>
      <c r="AC23" s="12" t="s">
        <v>51</v>
      </c>
      <c r="AD23" s="11" t="s">
        <v>43</v>
      </c>
      <c r="AE23" s="12" t="s">
        <v>44</v>
      </c>
      <c r="AF23" s="14">
        <v>0.19566680000000003</v>
      </c>
      <c r="AG23" s="11" t="s">
        <v>45</v>
      </c>
    </row>
    <row r="24" spans="1:33" x14ac:dyDescent="0.2">
      <c r="A24" s="8">
        <v>3669</v>
      </c>
      <c r="B24" s="9" t="s">
        <v>102</v>
      </c>
      <c r="C24" s="10">
        <v>43300</v>
      </c>
      <c r="D24" s="11">
        <v>59</v>
      </c>
      <c r="E24" s="12" t="s">
        <v>34</v>
      </c>
      <c r="F24" s="12" t="s">
        <v>34</v>
      </c>
      <c r="G24" s="12" t="s">
        <v>35</v>
      </c>
      <c r="H24" s="12" t="s">
        <v>36</v>
      </c>
      <c r="I24" s="11" t="s">
        <v>129</v>
      </c>
      <c r="J24" s="12" t="s">
        <v>130</v>
      </c>
      <c r="K24" s="13" t="s">
        <v>131</v>
      </c>
      <c r="L24" s="11" t="str">
        <f>"000244"</f>
        <v>000244</v>
      </c>
      <c r="M24" s="10">
        <v>43134</v>
      </c>
      <c r="N24" s="11" t="str">
        <f>"000040"</f>
        <v>000040</v>
      </c>
      <c r="O24" s="10">
        <v>43273</v>
      </c>
      <c r="P24" s="11" t="str">
        <f>"000086"</f>
        <v>000086</v>
      </c>
      <c r="Q24" s="10">
        <v>43273</v>
      </c>
      <c r="R24" s="11">
        <v>18</v>
      </c>
      <c r="S24" s="11" t="str">
        <f>"003738"</f>
        <v>003738</v>
      </c>
      <c r="T24" s="10">
        <v>43294</v>
      </c>
      <c r="U24" s="14">
        <v>19.863109999999999</v>
      </c>
      <c r="V24" s="14">
        <v>1.6247499999999999</v>
      </c>
      <c r="W24" s="14">
        <v>18.23836</v>
      </c>
      <c r="X24" s="11">
        <v>133</v>
      </c>
      <c r="Y24" s="10">
        <v>43300</v>
      </c>
      <c r="Z24" s="11">
        <v>123456789</v>
      </c>
      <c r="AA24" s="12" t="s">
        <v>132</v>
      </c>
      <c r="AB24" s="11" t="s">
        <v>133</v>
      </c>
      <c r="AC24" s="12" t="s">
        <v>134</v>
      </c>
      <c r="AD24" s="11" t="s">
        <v>43</v>
      </c>
      <c r="AE24" s="12" t="s">
        <v>44</v>
      </c>
      <c r="AF24" s="14">
        <v>0.19863109999999998</v>
      </c>
      <c r="AG24" s="11" t="s">
        <v>85</v>
      </c>
    </row>
    <row r="25" spans="1:33" x14ac:dyDescent="0.2">
      <c r="A25" s="8">
        <v>4100</v>
      </c>
      <c r="B25" s="9" t="s">
        <v>102</v>
      </c>
      <c r="C25" s="10">
        <v>43308</v>
      </c>
      <c r="D25" s="11">
        <v>59</v>
      </c>
      <c r="E25" s="12" t="s">
        <v>34</v>
      </c>
      <c r="F25" s="12" t="s">
        <v>34</v>
      </c>
      <c r="G25" s="12" t="s">
        <v>35</v>
      </c>
      <c r="H25" s="12" t="s">
        <v>36</v>
      </c>
      <c r="I25" s="11" t="s">
        <v>118</v>
      </c>
      <c r="J25" s="12" t="s">
        <v>119</v>
      </c>
      <c r="K25" s="13" t="s">
        <v>78</v>
      </c>
      <c r="L25" s="11" t="str">
        <f>"000031"</f>
        <v>000031</v>
      </c>
      <c r="M25" s="10">
        <v>43054</v>
      </c>
      <c r="N25" s="11" t="str">
        <f>"000074"</f>
        <v>000074</v>
      </c>
      <c r="O25" s="10">
        <v>43090</v>
      </c>
      <c r="P25" s="11" t="str">
        <f>"000063"</f>
        <v>000063</v>
      </c>
      <c r="Q25" s="10">
        <v>43090</v>
      </c>
      <c r="R25" s="11">
        <v>16</v>
      </c>
      <c r="S25" s="11" t="str">
        <f>"004453"</f>
        <v>004453</v>
      </c>
      <c r="T25" s="10">
        <v>43307</v>
      </c>
      <c r="U25" s="14">
        <v>2.2690100000000002</v>
      </c>
      <c r="V25" s="14">
        <v>0.17616000000000001</v>
      </c>
      <c r="W25" s="14">
        <v>2.0928499999999999</v>
      </c>
      <c r="X25" s="11">
        <v>146</v>
      </c>
      <c r="Y25" s="10">
        <v>43308</v>
      </c>
      <c r="Z25" s="11">
        <v>9972630496</v>
      </c>
      <c r="AA25" s="12" t="s">
        <v>120</v>
      </c>
      <c r="AB25" s="11" t="s">
        <v>121</v>
      </c>
      <c r="AC25" s="12" t="s">
        <v>122</v>
      </c>
      <c r="AD25" s="11" t="s">
        <v>100</v>
      </c>
      <c r="AE25" s="12" t="s">
        <v>101</v>
      </c>
      <c r="AF25" s="14">
        <v>2.2690100000000001E-2</v>
      </c>
      <c r="AG25" s="11" t="s">
        <v>45</v>
      </c>
    </row>
    <row r="26" spans="1:33" x14ac:dyDescent="0.2">
      <c r="A26" s="8">
        <v>4668</v>
      </c>
      <c r="B26" s="9" t="s">
        <v>135</v>
      </c>
      <c r="C26" s="10">
        <v>43325</v>
      </c>
      <c r="D26" s="11">
        <v>59</v>
      </c>
      <c r="E26" s="12" t="s">
        <v>34</v>
      </c>
      <c r="F26" s="12" t="s">
        <v>34</v>
      </c>
      <c r="G26" s="12" t="s">
        <v>35</v>
      </c>
      <c r="H26" s="12" t="s">
        <v>36</v>
      </c>
      <c r="I26" s="11" t="s">
        <v>136</v>
      </c>
      <c r="J26" s="12" t="s">
        <v>137</v>
      </c>
      <c r="K26" s="13" t="s">
        <v>78</v>
      </c>
      <c r="L26" s="11" t="str">
        <f>"000059"</f>
        <v>000059</v>
      </c>
      <c r="M26" s="10">
        <v>43288</v>
      </c>
      <c r="N26" s="11" t="str">
        <f>"000046"</f>
        <v>000046</v>
      </c>
      <c r="O26" s="10">
        <v>43288</v>
      </c>
      <c r="P26" s="11" t="str">
        <f>"000115"</f>
        <v>000115</v>
      </c>
      <c r="Q26" s="10">
        <v>43288</v>
      </c>
      <c r="R26" s="11">
        <v>18</v>
      </c>
      <c r="S26" s="11" t="str">
        <f>"004281"</f>
        <v>004281</v>
      </c>
      <c r="T26" s="10">
        <v>43306</v>
      </c>
      <c r="U26" s="14">
        <v>19.93187</v>
      </c>
      <c r="V26" s="14">
        <v>1.9535</v>
      </c>
      <c r="W26" s="14">
        <v>17.978370000000002</v>
      </c>
      <c r="X26" s="11">
        <v>166</v>
      </c>
      <c r="Y26" s="10">
        <v>43325</v>
      </c>
      <c r="Z26" s="11">
        <v>9980949398</v>
      </c>
      <c r="AA26" s="12" t="s">
        <v>138</v>
      </c>
      <c r="AB26" s="11" t="s">
        <v>83</v>
      </c>
      <c r="AC26" s="12" t="s">
        <v>84</v>
      </c>
      <c r="AD26" s="11" t="s">
        <v>43</v>
      </c>
      <c r="AE26" s="12" t="s">
        <v>44</v>
      </c>
      <c r="AF26" s="14">
        <v>0.19931869999999999</v>
      </c>
      <c r="AG26" s="11" t="s">
        <v>64</v>
      </c>
    </row>
    <row r="27" spans="1:33" x14ac:dyDescent="0.2">
      <c r="A27" s="8">
        <v>4968</v>
      </c>
      <c r="B27" s="9" t="s">
        <v>135</v>
      </c>
      <c r="C27" s="10">
        <v>43330</v>
      </c>
      <c r="D27" s="11">
        <v>59</v>
      </c>
      <c r="E27" s="12" t="s">
        <v>34</v>
      </c>
      <c r="F27" s="12" t="s">
        <v>34</v>
      </c>
      <c r="G27" s="12" t="s">
        <v>35</v>
      </c>
      <c r="H27" s="12" t="s">
        <v>36</v>
      </c>
      <c r="I27" s="11" t="s">
        <v>139</v>
      </c>
      <c r="J27" s="12" t="s">
        <v>140</v>
      </c>
      <c r="K27" s="13" t="s">
        <v>78</v>
      </c>
      <c r="L27" s="11" t="str">
        <f>"000224"</f>
        <v>000224</v>
      </c>
      <c r="M27" s="10">
        <v>42808</v>
      </c>
      <c r="N27" s="11" t="str">
        <f>"000085"</f>
        <v>000085</v>
      </c>
      <c r="O27" s="10">
        <v>42808</v>
      </c>
      <c r="P27" s="11" t="str">
        <f>"000544"</f>
        <v>000544</v>
      </c>
      <c r="Q27" s="10">
        <v>42825</v>
      </c>
      <c r="R27" s="11">
        <v>17</v>
      </c>
      <c r="S27" s="11" t="str">
        <f>"005205"</f>
        <v>005205</v>
      </c>
      <c r="T27" s="10">
        <v>43326</v>
      </c>
      <c r="U27" s="14">
        <v>13.72045</v>
      </c>
      <c r="V27" s="14">
        <v>1.0112300000000001</v>
      </c>
      <c r="W27" s="14">
        <v>12.70922</v>
      </c>
      <c r="X27" s="11">
        <v>174</v>
      </c>
      <c r="Y27" s="10">
        <v>43330</v>
      </c>
      <c r="Z27" s="11">
        <v>123456789</v>
      </c>
      <c r="AA27" s="12" t="s">
        <v>141</v>
      </c>
      <c r="AB27" s="11" t="s">
        <v>50</v>
      </c>
      <c r="AC27" s="12" t="s">
        <v>51</v>
      </c>
      <c r="AD27" s="11" t="s">
        <v>43</v>
      </c>
      <c r="AE27" s="12" t="s">
        <v>44</v>
      </c>
      <c r="AF27" s="14">
        <v>0.13720450000000001</v>
      </c>
      <c r="AG27" s="11" t="s">
        <v>45</v>
      </c>
    </row>
    <row r="28" spans="1:33" x14ac:dyDescent="0.2">
      <c r="A28" s="8">
        <v>4969</v>
      </c>
      <c r="B28" s="9" t="s">
        <v>135</v>
      </c>
      <c r="C28" s="10">
        <v>43330</v>
      </c>
      <c r="D28" s="11">
        <v>59</v>
      </c>
      <c r="E28" s="12" t="s">
        <v>34</v>
      </c>
      <c r="F28" s="12" t="s">
        <v>34</v>
      </c>
      <c r="G28" s="12" t="s">
        <v>35</v>
      </c>
      <c r="H28" s="12" t="s">
        <v>36</v>
      </c>
      <c r="I28" s="11" t="s">
        <v>142</v>
      </c>
      <c r="J28" s="12" t="s">
        <v>143</v>
      </c>
      <c r="K28" s="13" t="s">
        <v>48</v>
      </c>
      <c r="L28" s="11" t="str">
        <f>"000225"</f>
        <v>000225</v>
      </c>
      <c r="M28" s="10">
        <v>42808</v>
      </c>
      <c r="N28" s="11" t="str">
        <f>"000175"</f>
        <v>000175</v>
      </c>
      <c r="O28" s="10">
        <v>42825</v>
      </c>
      <c r="P28" s="11" t="str">
        <f>"000545"</f>
        <v>000545</v>
      </c>
      <c r="Q28" s="10">
        <v>42825</v>
      </c>
      <c r="R28" s="11">
        <v>17</v>
      </c>
      <c r="S28" s="11" t="str">
        <f>"005206"</f>
        <v>005206</v>
      </c>
      <c r="T28" s="10">
        <v>43326</v>
      </c>
      <c r="U28" s="14">
        <v>18.772310000000001</v>
      </c>
      <c r="V28" s="14">
        <v>1.3820399999999999</v>
      </c>
      <c r="W28" s="14">
        <v>17.390270000000001</v>
      </c>
      <c r="X28" s="11">
        <v>174</v>
      </c>
      <c r="Y28" s="10">
        <v>43330</v>
      </c>
      <c r="Z28" s="11">
        <v>123456789</v>
      </c>
      <c r="AA28" s="12" t="s">
        <v>144</v>
      </c>
      <c r="AB28" s="11" t="s">
        <v>50</v>
      </c>
      <c r="AC28" s="12" t="s">
        <v>51</v>
      </c>
      <c r="AD28" s="11" t="s">
        <v>43</v>
      </c>
      <c r="AE28" s="12" t="s">
        <v>44</v>
      </c>
      <c r="AF28" s="14">
        <v>0.1877231</v>
      </c>
      <c r="AG28" s="11" t="s">
        <v>45</v>
      </c>
    </row>
    <row r="29" spans="1:33" x14ac:dyDescent="0.2">
      <c r="A29" s="8">
        <v>4970</v>
      </c>
      <c r="B29" s="9" t="s">
        <v>135</v>
      </c>
      <c r="C29" s="10">
        <v>43330</v>
      </c>
      <c r="D29" s="11">
        <v>59</v>
      </c>
      <c r="E29" s="12" t="s">
        <v>34</v>
      </c>
      <c r="F29" s="12" t="s">
        <v>34</v>
      </c>
      <c r="G29" s="12" t="s">
        <v>35</v>
      </c>
      <c r="H29" s="12" t="s">
        <v>36</v>
      </c>
      <c r="I29" s="11" t="s">
        <v>145</v>
      </c>
      <c r="J29" s="12" t="s">
        <v>146</v>
      </c>
      <c r="K29" s="13" t="s">
        <v>78</v>
      </c>
      <c r="L29" s="11" t="str">
        <f>"000213"</f>
        <v>000213</v>
      </c>
      <c r="M29" s="10">
        <v>42803</v>
      </c>
      <c r="N29" s="11" t="str">
        <f>"000177"</f>
        <v>000177</v>
      </c>
      <c r="O29" s="10">
        <v>42825</v>
      </c>
      <c r="P29" s="11" t="str">
        <f>"000546"</f>
        <v>000546</v>
      </c>
      <c r="Q29" s="10">
        <v>42825</v>
      </c>
      <c r="R29" s="11">
        <v>17</v>
      </c>
      <c r="S29" s="11" t="str">
        <f>"005207"</f>
        <v>005207</v>
      </c>
      <c r="T29" s="10">
        <v>43326</v>
      </c>
      <c r="U29" s="14">
        <v>14.81</v>
      </c>
      <c r="V29" s="14">
        <v>1.09043</v>
      </c>
      <c r="W29" s="14">
        <v>13.719569999999999</v>
      </c>
      <c r="X29" s="11">
        <v>174</v>
      </c>
      <c r="Y29" s="10">
        <v>43330</v>
      </c>
      <c r="Z29" s="11">
        <v>123456789</v>
      </c>
      <c r="AA29" s="12" t="s">
        <v>144</v>
      </c>
      <c r="AB29" s="11" t="s">
        <v>50</v>
      </c>
      <c r="AC29" s="12" t="s">
        <v>51</v>
      </c>
      <c r="AD29" s="11" t="s">
        <v>43</v>
      </c>
      <c r="AE29" s="12" t="s">
        <v>44</v>
      </c>
      <c r="AF29" s="14">
        <v>0.14810000000000001</v>
      </c>
      <c r="AG29" s="11" t="s">
        <v>45</v>
      </c>
    </row>
    <row r="30" spans="1:33" x14ac:dyDescent="0.2">
      <c r="A30" s="8">
        <v>4971</v>
      </c>
      <c r="B30" s="9" t="s">
        <v>135</v>
      </c>
      <c r="C30" s="10">
        <v>43330</v>
      </c>
      <c r="D30" s="11">
        <v>59</v>
      </c>
      <c r="E30" s="12" t="s">
        <v>34</v>
      </c>
      <c r="F30" s="12" t="s">
        <v>34</v>
      </c>
      <c r="G30" s="12" t="s">
        <v>35</v>
      </c>
      <c r="H30" s="12" t="s">
        <v>36</v>
      </c>
      <c r="I30" s="11" t="s">
        <v>147</v>
      </c>
      <c r="J30" s="12" t="s">
        <v>148</v>
      </c>
      <c r="K30" s="13" t="s">
        <v>48</v>
      </c>
      <c r="L30" s="11" t="str">
        <f>"000143"</f>
        <v>000143</v>
      </c>
      <c r="M30" s="10">
        <v>43062</v>
      </c>
      <c r="N30" s="11" t="str">
        <f>"000189"</f>
        <v>000189</v>
      </c>
      <c r="O30" s="10">
        <v>42825</v>
      </c>
      <c r="P30" s="11" t="str">
        <f>"000550"</f>
        <v>000550</v>
      </c>
      <c r="Q30" s="10">
        <v>42825</v>
      </c>
      <c r="R30" s="11">
        <v>14</v>
      </c>
      <c r="S30" s="11" t="str">
        <f>"005213"</f>
        <v>005213</v>
      </c>
      <c r="T30" s="10">
        <v>43326</v>
      </c>
      <c r="U30" s="14">
        <v>18.313680000000002</v>
      </c>
      <c r="V30" s="14">
        <v>2.7958400000000001</v>
      </c>
      <c r="W30" s="14">
        <v>15.51784</v>
      </c>
      <c r="X30" s="11">
        <v>174</v>
      </c>
      <c r="Y30" s="10">
        <v>43330</v>
      </c>
      <c r="Z30" s="11">
        <v>123456789</v>
      </c>
      <c r="AA30" s="12" t="s">
        <v>82</v>
      </c>
      <c r="AB30" s="11" t="s">
        <v>149</v>
      </c>
      <c r="AC30" s="12" t="s">
        <v>150</v>
      </c>
      <c r="AD30" s="11" t="s">
        <v>43</v>
      </c>
      <c r="AE30" s="12" t="s">
        <v>44</v>
      </c>
      <c r="AF30" s="14">
        <v>0.18313680000000002</v>
      </c>
      <c r="AG30" s="11" t="s">
        <v>45</v>
      </c>
    </row>
    <row r="31" spans="1:33" x14ac:dyDescent="0.2">
      <c r="A31" s="8">
        <v>5092</v>
      </c>
      <c r="B31" s="9" t="s">
        <v>135</v>
      </c>
      <c r="C31" s="10">
        <v>43337</v>
      </c>
      <c r="D31" s="11">
        <v>59</v>
      </c>
      <c r="E31" s="12" t="s">
        <v>34</v>
      </c>
      <c r="F31" s="12" t="s">
        <v>34</v>
      </c>
      <c r="G31" s="12" t="s">
        <v>35</v>
      </c>
      <c r="H31" s="12" t="s">
        <v>36</v>
      </c>
      <c r="I31" s="11" t="s">
        <v>151</v>
      </c>
      <c r="J31" s="12" t="s">
        <v>152</v>
      </c>
      <c r="K31" s="13" t="s">
        <v>116</v>
      </c>
      <c r="L31" s="11" t="str">
        <f>"000058"</f>
        <v>000058</v>
      </c>
      <c r="M31" s="10">
        <v>43288</v>
      </c>
      <c r="N31" s="11" t="str">
        <f>"000045"</f>
        <v>000045</v>
      </c>
      <c r="O31" s="10">
        <v>43288</v>
      </c>
      <c r="P31" s="11" t="str">
        <f>"000114"</f>
        <v>000114</v>
      </c>
      <c r="Q31" s="10">
        <v>43288</v>
      </c>
      <c r="R31" s="11">
        <v>15</v>
      </c>
      <c r="S31" s="11" t="str">
        <f>"005388"</f>
        <v>005388</v>
      </c>
      <c r="T31" s="10">
        <v>43337</v>
      </c>
      <c r="U31" s="14">
        <v>9.9296100000000003</v>
      </c>
      <c r="V31" s="14">
        <v>0.90700000000000003</v>
      </c>
      <c r="W31" s="14">
        <v>9.0226100000000002</v>
      </c>
      <c r="X31" s="11">
        <v>180</v>
      </c>
      <c r="Y31" s="10">
        <v>43337</v>
      </c>
      <c r="Z31" s="11">
        <v>123456789</v>
      </c>
      <c r="AA31" s="12" t="s">
        <v>153</v>
      </c>
      <c r="AB31" s="11" t="s">
        <v>50</v>
      </c>
      <c r="AC31" s="12" t="s">
        <v>51</v>
      </c>
      <c r="AD31" s="11" t="s">
        <v>43</v>
      </c>
      <c r="AE31" s="12" t="s">
        <v>44</v>
      </c>
      <c r="AF31" s="14">
        <v>9.9296099999999998E-2</v>
      </c>
      <c r="AG31" s="11" t="s">
        <v>64</v>
      </c>
    </row>
    <row r="32" spans="1:33" x14ac:dyDescent="0.2">
      <c r="A32" s="8">
        <v>5832</v>
      </c>
      <c r="B32" s="9" t="s">
        <v>154</v>
      </c>
      <c r="C32" s="10">
        <v>43379</v>
      </c>
      <c r="D32" s="11">
        <v>59</v>
      </c>
      <c r="E32" s="12" t="s">
        <v>34</v>
      </c>
      <c r="F32" s="12" t="s">
        <v>34</v>
      </c>
      <c r="G32" s="12" t="s">
        <v>35</v>
      </c>
      <c r="H32" s="12" t="s">
        <v>36</v>
      </c>
      <c r="I32" s="11" t="s">
        <v>103</v>
      </c>
      <c r="J32" s="12" t="s">
        <v>104</v>
      </c>
      <c r="K32" s="13" t="s">
        <v>39</v>
      </c>
      <c r="L32" s="11" t="str">
        <f>"000038"</f>
        <v>000038</v>
      </c>
      <c r="M32" s="10">
        <v>43269</v>
      </c>
      <c r="N32" s="11" t="str">
        <f>"000091"</f>
        <v>000091</v>
      </c>
      <c r="O32" s="10">
        <v>43359</v>
      </c>
      <c r="P32" s="11" t="str">
        <f>"000195"</f>
        <v>000195</v>
      </c>
      <c r="Q32" s="10">
        <v>43360</v>
      </c>
      <c r="R32" s="11">
        <v>18</v>
      </c>
      <c r="S32" s="11" t="str">
        <f>"006120"</f>
        <v>006120</v>
      </c>
      <c r="T32" s="10">
        <v>43376</v>
      </c>
      <c r="U32" s="14">
        <v>65.406630000000007</v>
      </c>
      <c r="V32" s="14">
        <v>6.2234999999999996</v>
      </c>
      <c r="W32" s="14">
        <v>59.183129999999998</v>
      </c>
      <c r="X32" s="11">
        <v>221</v>
      </c>
      <c r="Y32" s="10">
        <v>43379</v>
      </c>
      <c r="Z32" s="11">
        <v>123456789</v>
      </c>
      <c r="AA32" s="12" t="s">
        <v>105</v>
      </c>
      <c r="AB32" s="11" t="s">
        <v>62</v>
      </c>
      <c r="AC32" s="12" t="s">
        <v>63</v>
      </c>
      <c r="AD32" s="11" t="s">
        <v>43</v>
      </c>
      <c r="AE32" s="12" t="s">
        <v>44</v>
      </c>
      <c r="AF32" s="14">
        <f t="shared" ref="AF32:AF52" si="0">U32/100</f>
        <v>0.6540663000000001</v>
      </c>
      <c r="AG32" s="11" t="s">
        <v>64</v>
      </c>
    </row>
    <row r="33" spans="1:33" x14ac:dyDescent="0.2">
      <c r="A33" s="8">
        <v>5833</v>
      </c>
      <c r="B33" s="9" t="s">
        <v>154</v>
      </c>
      <c r="C33" s="10">
        <v>43379</v>
      </c>
      <c r="D33" s="11">
        <v>59</v>
      </c>
      <c r="E33" s="12" t="s">
        <v>34</v>
      </c>
      <c r="F33" s="12" t="s">
        <v>34</v>
      </c>
      <c r="G33" s="12" t="s">
        <v>35</v>
      </c>
      <c r="H33" s="12" t="s">
        <v>36</v>
      </c>
      <c r="I33" s="11" t="s">
        <v>103</v>
      </c>
      <c r="J33" s="12" t="s">
        <v>104</v>
      </c>
      <c r="K33" s="13" t="s">
        <v>39</v>
      </c>
      <c r="L33" s="11" t="str">
        <f>"000038"</f>
        <v>000038</v>
      </c>
      <c r="M33" s="10">
        <v>43269</v>
      </c>
      <c r="N33" s="11" t="str">
        <f>"000091"</f>
        <v>000091</v>
      </c>
      <c r="O33" s="10">
        <v>43359</v>
      </c>
      <c r="P33" s="11" t="str">
        <f>"000195"</f>
        <v>000195</v>
      </c>
      <c r="Q33" s="10">
        <v>43360</v>
      </c>
      <c r="R33" s="11">
        <v>18</v>
      </c>
      <c r="S33" s="11" t="str">
        <f>"006120"</f>
        <v>006120</v>
      </c>
      <c r="T33" s="10">
        <v>43376</v>
      </c>
      <c r="U33" s="14">
        <v>65.406630000000007</v>
      </c>
      <c r="V33" s="14">
        <v>6.2234999999999996</v>
      </c>
      <c r="W33" s="14">
        <v>59.183129999999998</v>
      </c>
      <c r="X33" s="11">
        <v>221</v>
      </c>
      <c r="Y33" s="10">
        <v>43379</v>
      </c>
      <c r="Z33" s="11">
        <v>123456789</v>
      </c>
      <c r="AA33" s="12" t="s">
        <v>105</v>
      </c>
      <c r="AB33" s="11" t="s">
        <v>62</v>
      </c>
      <c r="AC33" s="12" t="s">
        <v>63</v>
      </c>
      <c r="AD33" s="11" t="s">
        <v>43</v>
      </c>
      <c r="AE33" s="12" t="s">
        <v>44</v>
      </c>
      <c r="AF33" s="14">
        <f t="shared" si="0"/>
        <v>0.6540663000000001</v>
      </c>
      <c r="AG33" s="11" t="s">
        <v>64</v>
      </c>
    </row>
    <row r="34" spans="1:33" x14ac:dyDescent="0.2">
      <c r="A34" s="8">
        <v>6535</v>
      </c>
      <c r="B34" s="9" t="s">
        <v>154</v>
      </c>
      <c r="C34" s="10">
        <v>43389</v>
      </c>
      <c r="D34" s="11">
        <v>59</v>
      </c>
      <c r="E34" s="12" t="s">
        <v>34</v>
      </c>
      <c r="F34" s="12" t="s">
        <v>34</v>
      </c>
      <c r="G34" s="12" t="s">
        <v>35</v>
      </c>
      <c r="H34" s="12" t="s">
        <v>36</v>
      </c>
      <c r="I34" s="11" t="s">
        <v>155</v>
      </c>
      <c r="J34" s="12" t="s">
        <v>156</v>
      </c>
      <c r="K34" s="13" t="s">
        <v>157</v>
      </c>
      <c r="L34" s="11" t="str">
        <f>"000137"</f>
        <v>000137</v>
      </c>
      <c r="M34" s="10">
        <v>43047</v>
      </c>
      <c r="N34" s="11" t="str">
        <f>"000086"</f>
        <v>000086</v>
      </c>
      <c r="O34" s="10">
        <v>43123</v>
      </c>
      <c r="P34" s="11" t="str">
        <f>"000335"</f>
        <v>000335</v>
      </c>
      <c r="Q34" s="10">
        <v>43124</v>
      </c>
      <c r="R34" s="11">
        <v>17</v>
      </c>
      <c r="S34" s="11" t="str">
        <f>"006495"</f>
        <v>006495</v>
      </c>
      <c r="T34" s="10">
        <v>43383</v>
      </c>
      <c r="U34" s="14">
        <v>24.926020000000001</v>
      </c>
      <c r="V34" s="14">
        <v>2.8675000000000002</v>
      </c>
      <c r="W34" s="14">
        <v>22.058520000000001</v>
      </c>
      <c r="X34" s="11">
        <v>241</v>
      </c>
      <c r="Y34" s="10">
        <v>43389</v>
      </c>
      <c r="Z34" s="11">
        <v>123456789</v>
      </c>
      <c r="AA34" s="12" t="s">
        <v>82</v>
      </c>
      <c r="AB34" s="11" t="s">
        <v>158</v>
      </c>
      <c r="AC34" s="12" t="s">
        <v>159</v>
      </c>
      <c r="AD34" s="11" t="s">
        <v>43</v>
      </c>
      <c r="AE34" s="12" t="s">
        <v>44</v>
      </c>
      <c r="AF34" s="14">
        <f t="shared" si="0"/>
        <v>0.24926020000000002</v>
      </c>
      <c r="AG34" s="11" t="s">
        <v>45</v>
      </c>
    </row>
    <row r="35" spans="1:33" x14ac:dyDescent="0.2">
      <c r="A35" s="8">
        <v>6536</v>
      </c>
      <c r="B35" s="9" t="s">
        <v>154</v>
      </c>
      <c r="C35" s="10">
        <v>43389</v>
      </c>
      <c r="D35" s="11">
        <v>59</v>
      </c>
      <c r="E35" s="12" t="s">
        <v>34</v>
      </c>
      <c r="F35" s="12" t="s">
        <v>34</v>
      </c>
      <c r="G35" s="12" t="s">
        <v>35</v>
      </c>
      <c r="H35" s="12" t="s">
        <v>36</v>
      </c>
      <c r="I35" s="11" t="s">
        <v>160</v>
      </c>
      <c r="J35" s="12" t="s">
        <v>161</v>
      </c>
      <c r="K35" s="13" t="s">
        <v>157</v>
      </c>
      <c r="L35" s="11" t="str">
        <f>"000138"</f>
        <v>000138</v>
      </c>
      <c r="M35" s="10">
        <v>43047</v>
      </c>
      <c r="N35" s="11" t="str">
        <f>"000089"</f>
        <v>000089</v>
      </c>
      <c r="O35" s="10">
        <v>43124</v>
      </c>
      <c r="P35" s="11" t="str">
        <f>"000336"</f>
        <v>000336</v>
      </c>
      <c r="Q35" s="10">
        <v>43124</v>
      </c>
      <c r="R35" s="11">
        <v>17</v>
      </c>
      <c r="S35" s="11" t="str">
        <f>"006498"</f>
        <v>006498</v>
      </c>
      <c r="T35" s="10">
        <v>43383</v>
      </c>
      <c r="U35" s="14">
        <v>24.90241</v>
      </c>
      <c r="V35" s="14">
        <v>2.8065000000000002</v>
      </c>
      <c r="W35" s="14">
        <v>22.09591</v>
      </c>
      <c r="X35" s="11">
        <v>241</v>
      </c>
      <c r="Y35" s="10">
        <v>43389</v>
      </c>
      <c r="Z35" s="11">
        <v>123456789</v>
      </c>
      <c r="AA35" s="12" t="s">
        <v>162</v>
      </c>
      <c r="AB35" s="11" t="s">
        <v>158</v>
      </c>
      <c r="AC35" s="12" t="s">
        <v>159</v>
      </c>
      <c r="AD35" s="11" t="s">
        <v>43</v>
      </c>
      <c r="AE35" s="12" t="s">
        <v>44</v>
      </c>
      <c r="AF35" s="14">
        <f t="shared" si="0"/>
        <v>0.2490241</v>
      </c>
      <c r="AG35" s="11" t="s">
        <v>45</v>
      </c>
    </row>
    <row r="36" spans="1:33" x14ac:dyDescent="0.2">
      <c r="A36" s="8">
        <v>7858</v>
      </c>
      <c r="B36" s="9" t="s">
        <v>163</v>
      </c>
      <c r="C36" s="10">
        <v>43453</v>
      </c>
      <c r="D36" s="11">
        <v>59</v>
      </c>
      <c r="E36" s="12" t="s">
        <v>34</v>
      </c>
      <c r="F36" s="12" t="s">
        <v>34</v>
      </c>
      <c r="G36" s="12" t="s">
        <v>35</v>
      </c>
      <c r="H36" s="12" t="s">
        <v>36</v>
      </c>
      <c r="I36" s="11" t="s">
        <v>164</v>
      </c>
      <c r="J36" s="12" t="s">
        <v>165</v>
      </c>
      <c r="K36" s="13" t="s">
        <v>166</v>
      </c>
      <c r="L36" s="11" t="str">
        <f>"000213"</f>
        <v>000213</v>
      </c>
      <c r="M36" s="10">
        <v>43418</v>
      </c>
      <c r="N36" s="11" t="str">
        <f>"000132"</f>
        <v>000132</v>
      </c>
      <c r="O36" s="10">
        <v>43418</v>
      </c>
      <c r="P36" s="11" t="str">
        <f>"000250"</f>
        <v>000250</v>
      </c>
      <c r="Q36" s="10">
        <v>43418</v>
      </c>
      <c r="R36" s="11">
        <v>17</v>
      </c>
      <c r="S36" s="11" t="str">
        <f>"008071"</f>
        <v>008071</v>
      </c>
      <c r="T36" s="10">
        <v>43451</v>
      </c>
      <c r="U36" s="14">
        <v>9.9933300000000003</v>
      </c>
      <c r="V36" s="14">
        <v>1.0148600000000001</v>
      </c>
      <c r="W36" s="14">
        <v>8.9784699999999997</v>
      </c>
      <c r="X36" s="11">
        <v>296</v>
      </c>
      <c r="Y36" s="10">
        <v>43453</v>
      </c>
      <c r="Z36" s="11">
        <v>123456789</v>
      </c>
      <c r="AA36" s="12" t="s">
        <v>167</v>
      </c>
      <c r="AB36" s="11" t="s">
        <v>41</v>
      </c>
      <c r="AC36" s="12" t="s">
        <v>42</v>
      </c>
      <c r="AD36" s="11" t="s">
        <v>43</v>
      </c>
      <c r="AE36" s="12" t="s">
        <v>44</v>
      </c>
      <c r="AF36" s="14">
        <f t="shared" si="0"/>
        <v>9.9933300000000003E-2</v>
      </c>
      <c r="AG36" s="11" t="s">
        <v>64</v>
      </c>
    </row>
    <row r="37" spans="1:33" x14ac:dyDescent="0.2">
      <c r="A37" s="8">
        <v>8271</v>
      </c>
      <c r="B37" s="9" t="s">
        <v>168</v>
      </c>
      <c r="C37" s="10">
        <v>43466</v>
      </c>
      <c r="D37" s="11">
        <v>59</v>
      </c>
      <c r="E37" s="12" t="s">
        <v>34</v>
      </c>
      <c r="F37" s="12" t="s">
        <v>34</v>
      </c>
      <c r="G37" s="12" t="s">
        <v>35</v>
      </c>
      <c r="H37" s="12" t="s">
        <v>36</v>
      </c>
      <c r="I37" s="11" t="s">
        <v>169</v>
      </c>
      <c r="J37" s="12" t="s">
        <v>170</v>
      </c>
      <c r="K37" s="13" t="s">
        <v>39</v>
      </c>
      <c r="L37" s="11" t="str">
        <f>"000219"</f>
        <v>000219</v>
      </c>
      <c r="M37" s="10">
        <v>43420</v>
      </c>
      <c r="N37" s="11" t="str">
        <f>"000133"</f>
        <v>000133</v>
      </c>
      <c r="O37" s="10">
        <v>43420</v>
      </c>
      <c r="P37" s="11" t="str">
        <f>"000252"</f>
        <v>000252</v>
      </c>
      <c r="Q37" s="10">
        <v>43420</v>
      </c>
      <c r="R37" s="11"/>
      <c r="S37" s="11" t="str">
        <f>"008424"</f>
        <v>008424</v>
      </c>
      <c r="T37" s="10">
        <v>43463</v>
      </c>
      <c r="U37" s="14">
        <v>49.94885</v>
      </c>
      <c r="V37" s="14">
        <v>5.4328099999999999</v>
      </c>
      <c r="W37" s="14">
        <v>44.516039999999997</v>
      </c>
      <c r="X37" s="11">
        <v>309</v>
      </c>
      <c r="Y37" s="10">
        <v>43466</v>
      </c>
      <c r="Z37" s="11">
        <v>123456789</v>
      </c>
      <c r="AA37" s="12" t="s">
        <v>171</v>
      </c>
      <c r="AB37" s="11" t="s">
        <v>172</v>
      </c>
      <c r="AC37" s="12" t="s">
        <v>173</v>
      </c>
      <c r="AD37" s="11" t="s">
        <v>43</v>
      </c>
      <c r="AE37" s="12" t="s">
        <v>44</v>
      </c>
      <c r="AF37" s="14">
        <f t="shared" si="0"/>
        <v>0.4994885</v>
      </c>
      <c r="AG37" s="11" t="s">
        <v>64</v>
      </c>
    </row>
    <row r="38" spans="1:33" x14ac:dyDescent="0.2">
      <c r="A38" s="8">
        <v>8272</v>
      </c>
      <c r="B38" s="9" t="s">
        <v>168</v>
      </c>
      <c r="C38" s="10">
        <v>43466</v>
      </c>
      <c r="D38" s="11">
        <v>59</v>
      </c>
      <c r="E38" s="12" t="s">
        <v>34</v>
      </c>
      <c r="F38" s="12" t="s">
        <v>34</v>
      </c>
      <c r="G38" s="12" t="s">
        <v>35</v>
      </c>
      <c r="H38" s="12" t="s">
        <v>36</v>
      </c>
      <c r="I38" s="11" t="s">
        <v>174</v>
      </c>
      <c r="J38" s="12" t="s">
        <v>175</v>
      </c>
      <c r="K38" s="13" t="s">
        <v>39</v>
      </c>
      <c r="L38" s="11" t="str">
        <f>"000220"</f>
        <v>000220</v>
      </c>
      <c r="M38" s="10">
        <v>43420</v>
      </c>
      <c r="N38" s="11" t="str">
        <f>"000134"</f>
        <v>000134</v>
      </c>
      <c r="O38" s="10">
        <v>43420</v>
      </c>
      <c r="P38" s="11" t="str">
        <f>"000253"</f>
        <v>000253</v>
      </c>
      <c r="Q38" s="10">
        <v>43420</v>
      </c>
      <c r="R38" s="11"/>
      <c r="S38" s="11" t="str">
        <f>"008425"</f>
        <v>008425</v>
      </c>
      <c r="T38" s="10">
        <v>43463</v>
      </c>
      <c r="U38" s="14">
        <v>49.970930000000003</v>
      </c>
      <c r="V38" s="14">
        <v>5.41486</v>
      </c>
      <c r="W38" s="14">
        <v>44.556069999999998</v>
      </c>
      <c r="X38" s="11">
        <v>309</v>
      </c>
      <c r="Y38" s="10">
        <v>43466</v>
      </c>
      <c r="Z38" s="11">
        <v>123456789</v>
      </c>
      <c r="AA38" s="12" t="s">
        <v>176</v>
      </c>
      <c r="AB38" s="11" t="s">
        <v>172</v>
      </c>
      <c r="AC38" s="12" t="s">
        <v>173</v>
      </c>
      <c r="AD38" s="11" t="s">
        <v>43</v>
      </c>
      <c r="AE38" s="12" t="s">
        <v>44</v>
      </c>
      <c r="AF38" s="14">
        <f t="shared" si="0"/>
        <v>0.49970930000000002</v>
      </c>
      <c r="AG38" s="11" t="s">
        <v>64</v>
      </c>
    </row>
    <row r="39" spans="1:33" x14ac:dyDescent="0.2">
      <c r="A39" s="8">
        <v>8342</v>
      </c>
      <c r="B39" s="9" t="s">
        <v>168</v>
      </c>
      <c r="C39" s="10">
        <v>43467</v>
      </c>
      <c r="D39" s="11">
        <v>59</v>
      </c>
      <c r="E39" s="12" t="s">
        <v>34</v>
      </c>
      <c r="F39" s="12" t="s">
        <v>34</v>
      </c>
      <c r="G39" s="12" t="s">
        <v>35</v>
      </c>
      <c r="H39" s="12" t="s">
        <v>36</v>
      </c>
      <c r="I39" s="11" t="s">
        <v>177</v>
      </c>
      <c r="J39" s="12" t="s">
        <v>178</v>
      </c>
      <c r="K39" s="13" t="s">
        <v>179</v>
      </c>
      <c r="L39" s="11" t="str">
        <f>"000159"</f>
        <v>000159</v>
      </c>
      <c r="M39" s="10">
        <v>43389</v>
      </c>
      <c r="N39" s="11" t="str">
        <f>"000117"</f>
        <v>000117</v>
      </c>
      <c r="O39" s="10">
        <v>43389</v>
      </c>
      <c r="P39" s="11" t="str">
        <f>"000233"</f>
        <v>000233</v>
      </c>
      <c r="Q39" s="10">
        <v>43389</v>
      </c>
      <c r="R39" s="11"/>
      <c r="S39" s="11" t="str">
        <f>"008021"</f>
        <v>008021</v>
      </c>
      <c r="T39" s="10">
        <v>43449</v>
      </c>
      <c r="U39" s="14">
        <v>9.8599599999999992</v>
      </c>
      <c r="V39" s="14">
        <v>1.09476</v>
      </c>
      <c r="W39" s="14">
        <v>8.7652000000000001</v>
      </c>
      <c r="X39" s="11">
        <v>311</v>
      </c>
      <c r="Y39" s="10">
        <v>43467</v>
      </c>
      <c r="Z39" s="11">
        <v>123456789</v>
      </c>
      <c r="AA39" s="12" t="s">
        <v>180</v>
      </c>
      <c r="AB39" s="11" t="s">
        <v>95</v>
      </c>
      <c r="AC39" s="12" t="s">
        <v>96</v>
      </c>
      <c r="AD39" s="11" t="s">
        <v>43</v>
      </c>
      <c r="AE39" s="12" t="s">
        <v>44</v>
      </c>
      <c r="AF39" s="14">
        <f t="shared" si="0"/>
        <v>9.8599599999999996E-2</v>
      </c>
      <c r="AG39" s="11" t="s">
        <v>64</v>
      </c>
    </row>
    <row r="40" spans="1:33" x14ac:dyDescent="0.2">
      <c r="A40" s="8">
        <v>8347</v>
      </c>
      <c r="B40" s="9" t="s">
        <v>168</v>
      </c>
      <c r="C40" s="10">
        <v>43467</v>
      </c>
      <c r="D40" s="11">
        <v>59</v>
      </c>
      <c r="E40" s="12" t="s">
        <v>34</v>
      </c>
      <c r="F40" s="12" t="s">
        <v>34</v>
      </c>
      <c r="G40" s="12" t="s">
        <v>35</v>
      </c>
      <c r="H40" s="12" t="s">
        <v>36</v>
      </c>
      <c r="I40" s="11" t="s">
        <v>181</v>
      </c>
      <c r="J40" s="12" t="s">
        <v>182</v>
      </c>
      <c r="K40" s="13" t="s">
        <v>39</v>
      </c>
      <c r="L40" s="11" t="str">
        <f>"000004"</f>
        <v>000004</v>
      </c>
      <c r="M40" s="10">
        <v>43285</v>
      </c>
      <c r="N40" s="11" t="str">
        <f>"000005"</f>
        <v>000005</v>
      </c>
      <c r="O40" s="10">
        <v>43285</v>
      </c>
      <c r="P40" s="11" t="str">
        <f>"000005"</f>
        <v>000005</v>
      </c>
      <c r="Q40" s="10">
        <v>43285</v>
      </c>
      <c r="R40" s="11"/>
      <c r="S40" s="11" t="str">
        <f>"008029"</f>
        <v>008029</v>
      </c>
      <c r="T40" s="10">
        <v>43451</v>
      </c>
      <c r="U40" s="14">
        <v>97.226740000000007</v>
      </c>
      <c r="V40" s="14">
        <v>9.1957299999999993</v>
      </c>
      <c r="W40" s="14">
        <v>88.031009999999995</v>
      </c>
      <c r="X40" s="11">
        <v>311</v>
      </c>
      <c r="Y40" s="10">
        <v>43467</v>
      </c>
      <c r="Z40" s="11">
        <v>9964929025</v>
      </c>
      <c r="AA40" s="12" t="s">
        <v>183</v>
      </c>
      <c r="AB40" s="11" t="s">
        <v>184</v>
      </c>
      <c r="AC40" s="12" t="s">
        <v>185</v>
      </c>
      <c r="AD40" s="11" t="s">
        <v>186</v>
      </c>
      <c r="AE40" s="12" t="s">
        <v>187</v>
      </c>
      <c r="AF40" s="14">
        <f t="shared" si="0"/>
        <v>0.97226740000000011</v>
      </c>
      <c r="AG40" s="11" t="s">
        <v>64</v>
      </c>
    </row>
    <row r="41" spans="1:33" x14ac:dyDescent="0.2">
      <c r="A41" s="8">
        <v>8726</v>
      </c>
      <c r="B41" s="9" t="s">
        <v>168</v>
      </c>
      <c r="C41" s="10">
        <v>43486</v>
      </c>
      <c r="D41" s="11">
        <v>59</v>
      </c>
      <c r="E41" s="12" t="s">
        <v>34</v>
      </c>
      <c r="F41" s="12" t="s">
        <v>34</v>
      </c>
      <c r="G41" s="12" t="s">
        <v>35</v>
      </c>
      <c r="H41" s="12" t="s">
        <v>36</v>
      </c>
      <c r="I41" s="11" t="s">
        <v>188</v>
      </c>
      <c r="J41" s="12" t="s">
        <v>189</v>
      </c>
      <c r="K41" s="13" t="s">
        <v>48</v>
      </c>
      <c r="L41" s="11" t="str">
        <f>"000013"</f>
        <v>000013</v>
      </c>
      <c r="M41" s="10">
        <v>43466</v>
      </c>
      <c r="N41" s="11" t="str">
        <f>"000031"</f>
        <v>000031</v>
      </c>
      <c r="O41" s="10">
        <v>43466</v>
      </c>
      <c r="P41" s="11" t="str">
        <f>"000040"</f>
        <v>000040</v>
      </c>
      <c r="Q41" s="10">
        <v>43467</v>
      </c>
      <c r="R41" s="11"/>
      <c r="S41" s="11" t="str">
        <f>"008849"</f>
        <v>008849</v>
      </c>
      <c r="T41" s="10">
        <v>43484</v>
      </c>
      <c r="U41" s="14">
        <v>108.68702999999999</v>
      </c>
      <c r="V41" s="14">
        <v>12.69364</v>
      </c>
      <c r="W41" s="14">
        <v>95.993390000000005</v>
      </c>
      <c r="X41" s="11">
        <v>331</v>
      </c>
      <c r="Y41" s="10">
        <v>43486</v>
      </c>
      <c r="Z41" s="11">
        <v>9900980808</v>
      </c>
      <c r="AA41" s="12" t="s">
        <v>190</v>
      </c>
      <c r="AB41" s="11" t="s">
        <v>172</v>
      </c>
      <c r="AC41" s="12" t="s">
        <v>173</v>
      </c>
      <c r="AD41" s="11" t="s">
        <v>191</v>
      </c>
      <c r="AE41" s="12" t="s">
        <v>192</v>
      </c>
      <c r="AF41" s="14">
        <f t="shared" si="0"/>
        <v>1.0868703</v>
      </c>
      <c r="AG41" s="11" t="s">
        <v>64</v>
      </c>
    </row>
    <row r="42" spans="1:33" x14ac:dyDescent="0.2">
      <c r="A42" s="8">
        <v>8751</v>
      </c>
      <c r="B42" s="9" t="s">
        <v>168</v>
      </c>
      <c r="C42" s="10">
        <v>43486</v>
      </c>
      <c r="D42" s="11">
        <v>59</v>
      </c>
      <c r="E42" s="12" t="s">
        <v>34</v>
      </c>
      <c r="F42" s="12" t="s">
        <v>34</v>
      </c>
      <c r="G42" s="12" t="s">
        <v>35</v>
      </c>
      <c r="H42" s="12" t="s">
        <v>36</v>
      </c>
      <c r="I42" s="11" t="s">
        <v>193</v>
      </c>
      <c r="J42" s="12" t="s">
        <v>194</v>
      </c>
      <c r="K42" s="13" t="s">
        <v>39</v>
      </c>
      <c r="L42" s="11" t="str">
        <f>"000302"</f>
        <v>000302</v>
      </c>
      <c r="M42" s="10">
        <v>43468</v>
      </c>
      <c r="N42" s="11" t="str">
        <f>"000167"</f>
        <v>000167</v>
      </c>
      <c r="O42" s="10">
        <v>43468</v>
      </c>
      <c r="P42" s="11" t="str">
        <f>"000313"</f>
        <v>000313</v>
      </c>
      <c r="Q42" s="10">
        <v>43468</v>
      </c>
      <c r="R42" s="11"/>
      <c r="S42" s="11" t="str">
        <f>"008874"</f>
        <v>008874</v>
      </c>
      <c r="T42" s="10">
        <v>43484</v>
      </c>
      <c r="U42" s="14">
        <v>49.96454</v>
      </c>
      <c r="V42" s="14">
        <v>5.4762500000000003</v>
      </c>
      <c r="W42" s="14">
        <v>44.488289999999999</v>
      </c>
      <c r="X42" s="11">
        <v>331</v>
      </c>
      <c r="Y42" s="10">
        <v>43486</v>
      </c>
      <c r="Z42" s="11">
        <v>123456789</v>
      </c>
      <c r="AA42" s="12" t="s">
        <v>176</v>
      </c>
      <c r="AB42" s="11" t="s">
        <v>172</v>
      </c>
      <c r="AC42" s="12" t="s">
        <v>173</v>
      </c>
      <c r="AD42" s="11" t="s">
        <v>43</v>
      </c>
      <c r="AE42" s="12" t="s">
        <v>44</v>
      </c>
      <c r="AF42" s="14">
        <f t="shared" si="0"/>
        <v>0.49964540000000002</v>
      </c>
      <c r="AG42" s="11" t="s">
        <v>64</v>
      </c>
    </row>
    <row r="43" spans="1:33" x14ac:dyDescent="0.2">
      <c r="A43" s="8">
        <v>8754</v>
      </c>
      <c r="B43" s="9" t="s">
        <v>168</v>
      </c>
      <c r="C43" s="10">
        <v>43486</v>
      </c>
      <c r="D43" s="11">
        <v>59</v>
      </c>
      <c r="E43" s="12" t="s">
        <v>34</v>
      </c>
      <c r="F43" s="12" t="s">
        <v>34</v>
      </c>
      <c r="G43" s="12" t="s">
        <v>35</v>
      </c>
      <c r="H43" s="12" t="s">
        <v>36</v>
      </c>
      <c r="I43" s="11" t="s">
        <v>195</v>
      </c>
      <c r="J43" s="12" t="s">
        <v>196</v>
      </c>
      <c r="K43" s="13" t="s">
        <v>39</v>
      </c>
      <c r="L43" s="11" t="str">
        <f>"000305"</f>
        <v>000305</v>
      </c>
      <c r="M43" s="10">
        <v>43468</v>
      </c>
      <c r="N43" s="11" t="str">
        <f>"000168"</f>
        <v>000168</v>
      </c>
      <c r="O43" s="10">
        <v>43468</v>
      </c>
      <c r="P43" s="11" t="str">
        <f>"000316"</f>
        <v>000316</v>
      </c>
      <c r="Q43" s="10">
        <v>43468</v>
      </c>
      <c r="R43" s="11"/>
      <c r="S43" s="11" t="str">
        <f>"008877"</f>
        <v>008877</v>
      </c>
      <c r="T43" s="10">
        <v>43484</v>
      </c>
      <c r="U43" s="14">
        <v>49.951079999999997</v>
      </c>
      <c r="V43" s="14">
        <v>5.5480400000000003</v>
      </c>
      <c r="W43" s="14">
        <v>44.403039999999997</v>
      </c>
      <c r="X43" s="11">
        <v>331</v>
      </c>
      <c r="Y43" s="10">
        <v>43486</v>
      </c>
      <c r="Z43" s="11">
        <v>123456789</v>
      </c>
      <c r="AA43" s="12" t="s">
        <v>197</v>
      </c>
      <c r="AB43" s="11" t="s">
        <v>172</v>
      </c>
      <c r="AC43" s="12" t="s">
        <v>173</v>
      </c>
      <c r="AD43" s="11" t="s">
        <v>43</v>
      </c>
      <c r="AE43" s="12" t="s">
        <v>44</v>
      </c>
      <c r="AF43" s="14">
        <f t="shared" si="0"/>
        <v>0.49951079999999998</v>
      </c>
      <c r="AG43" s="11" t="s">
        <v>64</v>
      </c>
    </row>
    <row r="44" spans="1:33" x14ac:dyDescent="0.2">
      <c r="A44" s="8">
        <v>8983</v>
      </c>
      <c r="B44" s="9" t="s">
        <v>198</v>
      </c>
      <c r="C44" s="10">
        <v>43502</v>
      </c>
      <c r="D44" s="11">
        <v>59</v>
      </c>
      <c r="E44" s="12" t="s">
        <v>34</v>
      </c>
      <c r="F44" s="12" t="s">
        <v>34</v>
      </c>
      <c r="G44" s="12" t="s">
        <v>35</v>
      </c>
      <c r="H44" s="12" t="s">
        <v>36</v>
      </c>
      <c r="I44" s="11" t="s">
        <v>199</v>
      </c>
      <c r="J44" s="12" t="s">
        <v>200</v>
      </c>
      <c r="K44" s="13" t="s">
        <v>157</v>
      </c>
      <c r="L44" s="11" t="str">
        <f>"000207"</f>
        <v>000207</v>
      </c>
      <c r="M44" s="10">
        <v>43409</v>
      </c>
      <c r="N44" s="11" t="str">
        <f>"000127"</f>
        <v>000127</v>
      </c>
      <c r="O44" s="10">
        <v>43409</v>
      </c>
      <c r="P44" s="11" t="str">
        <f>"000245"</f>
        <v>000245</v>
      </c>
      <c r="Q44" s="10">
        <v>43409</v>
      </c>
      <c r="R44" s="11"/>
      <c r="S44" s="11" t="str">
        <f>"009059"</f>
        <v>009059</v>
      </c>
      <c r="T44" s="10">
        <v>43501</v>
      </c>
      <c r="U44" s="14">
        <v>7.3554599999999999</v>
      </c>
      <c r="V44" s="14">
        <v>1.01084</v>
      </c>
      <c r="W44" s="14">
        <v>6.3446199999999999</v>
      </c>
      <c r="X44" s="11">
        <v>342</v>
      </c>
      <c r="Y44" s="10">
        <v>43502</v>
      </c>
      <c r="Z44" s="11">
        <v>123456789</v>
      </c>
      <c r="AA44" s="12" t="s">
        <v>180</v>
      </c>
      <c r="AB44" s="11" t="s">
        <v>62</v>
      </c>
      <c r="AC44" s="12" t="s">
        <v>63</v>
      </c>
      <c r="AD44" s="11" t="s">
        <v>43</v>
      </c>
      <c r="AE44" s="12" t="s">
        <v>44</v>
      </c>
      <c r="AF44" s="14">
        <f t="shared" si="0"/>
        <v>7.3554599999999998E-2</v>
      </c>
      <c r="AG44" s="11" t="s">
        <v>64</v>
      </c>
    </row>
    <row r="45" spans="1:33" x14ac:dyDescent="0.2">
      <c r="A45" s="8">
        <v>8988</v>
      </c>
      <c r="B45" s="9" t="s">
        <v>198</v>
      </c>
      <c r="C45" s="10">
        <v>43502</v>
      </c>
      <c r="D45" s="11">
        <v>59</v>
      </c>
      <c r="E45" s="12" t="s">
        <v>34</v>
      </c>
      <c r="F45" s="12" t="s">
        <v>34</v>
      </c>
      <c r="G45" s="12" t="s">
        <v>35</v>
      </c>
      <c r="H45" s="12" t="s">
        <v>36</v>
      </c>
      <c r="I45" s="11" t="s">
        <v>201</v>
      </c>
      <c r="J45" s="12" t="s">
        <v>202</v>
      </c>
      <c r="K45" s="13" t="s">
        <v>157</v>
      </c>
      <c r="L45" s="11" t="str">
        <f>"000208"</f>
        <v>000208</v>
      </c>
      <c r="M45" s="10">
        <v>43409</v>
      </c>
      <c r="N45" s="11" t="str">
        <f>"000128"</f>
        <v>000128</v>
      </c>
      <c r="O45" s="10">
        <v>43409</v>
      </c>
      <c r="P45" s="11" t="str">
        <f>"000246"</f>
        <v>000246</v>
      </c>
      <c r="Q45" s="10">
        <v>43409</v>
      </c>
      <c r="R45" s="11"/>
      <c r="S45" s="11" t="str">
        <f>"009064"</f>
        <v>009064</v>
      </c>
      <c r="T45" s="10">
        <v>43501</v>
      </c>
      <c r="U45" s="14">
        <v>9.1879399999999993</v>
      </c>
      <c r="V45" s="14">
        <v>1.1446099999999999</v>
      </c>
      <c r="W45" s="14">
        <v>8.0433299999999992</v>
      </c>
      <c r="X45" s="11">
        <v>342</v>
      </c>
      <c r="Y45" s="10">
        <v>43502</v>
      </c>
      <c r="Z45" s="11">
        <v>123456789</v>
      </c>
      <c r="AA45" s="12" t="s">
        <v>203</v>
      </c>
      <c r="AB45" s="11" t="s">
        <v>62</v>
      </c>
      <c r="AC45" s="12" t="s">
        <v>63</v>
      </c>
      <c r="AD45" s="11" t="s">
        <v>43</v>
      </c>
      <c r="AE45" s="12" t="s">
        <v>44</v>
      </c>
      <c r="AF45" s="14">
        <f t="shared" si="0"/>
        <v>9.18794E-2</v>
      </c>
      <c r="AG45" s="11" t="s">
        <v>64</v>
      </c>
    </row>
    <row r="46" spans="1:33" x14ac:dyDescent="0.2">
      <c r="A46" s="8">
        <v>9112</v>
      </c>
      <c r="B46" s="9" t="s">
        <v>198</v>
      </c>
      <c r="C46" s="10">
        <v>43508</v>
      </c>
      <c r="D46" s="11">
        <v>59</v>
      </c>
      <c r="E46" s="12" t="s">
        <v>34</v>
      </c>
      <c r="F46" s="12" t="s">
        <v>34</v>
      </c>
      <c r="G46" s="12" t="s">
        <v>35</v>
      </c>
      <c r="H46" s="12" t="s">
        <v>36</v>
      </c>
      <c r="I46" s="11" t="s">
        <v>204</v>
      </c>
      <c r="J46" s="12" t="s">
        <v>205</v>
      </c>
      <c r="K46" s="13" t="s">
        <v>78</v>
      </c>
      <c r="L46" s="11" t="str">
        <f>"000074"</f>
        <v>000074</v>
      </c>
      <c r="M46" s="10">
        <v>41803</v>
      </c>
      <c r="N46" s="11" t="str">
        <f>"000043"</f>
        <v>000043</v>
      </c>
      <c r="O46" s="10">
        <v>43062</v>
      </c>
      <c r="P46" s="11" t="str">
        <f>"000215"</f>
        <v>000215</v>
      </c>
      <c r="Q46" s="10">
        <v>42914</v>
      </c>
      <c r="R46" s="11"/>
      <c r="S46" s="11" t="str">
        <f>"009138"</f>
        <v>009138</v>
      </c>
      <c r="T46" s="10">
        <v>43503</v>
      </c>
      <c r="U46" s="14">
        <v>19.07273</v>
      </c>
      <c r="V46" s="14">
        <v>2.8112300000000001</v>
      </c>
      <c r="W46" s="14">
        <v>16.261500000000002</v>
      </c>
      <c r="X46" s="11">
        <v>349</v>
      </c>
      <c r="Y46" s="10">
        <v>43508</v>
      </c>
      <c r="Z46" s="11">
        <v>123456789</v>
      </c>
      <c r="AA46" s="12" t="s">
        <v>79</v>
      </c>
      <c r="AB46" s="11" t="s">
        <v>149</v>
      </c>
      <c r="AC46" s="12" t="s">
        <v>150</v>
      </c>
      <c r="AD46" s="11" t="s">
        <v>43</v>
      </c>
      <c r="AE46" s="12" t="s">
        <v>44</v>
      </c>
      <c r="AF46" s="14">
        <f t="shared" si="0"/>
        <v>0.19072729999999999</v>
      </c>
      <c r="AG46" s="11" t="s">
        <v>45</v>
      </c>
    </row>
    <row r="47" spans="1:33" x14ac:dyDescent="0.2">
      <c r="A47" s="8">
        <v>9239</v>
      </c>
      <c r="B47" s="9" t="s">
        <v>198</v>
      </c>
      <c r="C47" s="10">
        <v>43519</v>
      </c>
      <c r="D47" s="11">
        <v>59</v>
      </c>
      <c r="E47" s="12" t="s">
        <v>34</v>
      </c>
      <c r="F47" s="12" t="s">
        <v>34</v>
      </c>
      <c r="G47" s="12" t="s">
        <v>35</v>
      </c>
      <c r="H47" s="12" t="s">
        <v>36</v>
      </c>
      <c r="I47" s="11" t="s">
        <v>206</v>
      </c>
      <c r="J47" s="12" t="s">
        <v>207</v>
      </c>
      <c r="K47" s="13" t="s">
        <v>48</v>
      </c>
      <c r="L47" s="11" t="str">
        <f>"000350"</f>
        <v>000350</v>
      </c>
      <c r="M47" s="10">
        <v>43502</v>
      </c>
      <c r="N47" s="11" t="str">
        <f>"000181"</f>
        <v>000181</v>
      </c>
      <c r="O47" s="10">
        <v>43503</v>
      </c>
      <c r="P47" s="11" t="str">
        <f>"000337"</f>
        <v>000337</v>
      </c>
      <c r="Q47" s="10">
        <v>43503</v>
      </c>
      <c r="R47" s="11"/>
      <c r="S47" s="11" t="str">
        <f>"009351"</f>
        <v>009351</v>
      </c>
      <c r="T47" s="10">
        <v>43518</v>
      </c>
      <c r="U47" s="14">
        <v>19.942640000000001</v>
      </c>
      <c r="V47" s="14">
        <v>2.4479799999999998</v>
      </c>
      <c r="W47" s="14">
        <v>17.49466</v>
      </c>
      <c r="X47" s="11">
        <v>357</v>
      </c>
      <c r="Y47" s="10">
        <v>43519</v>
      </c>
      <c r="Z47" s="11">
        <v>123456789</v>
      </c>
      <c r="AA47" s="12" t="s">
        <v>180</v>
      </c>
      <c r="AB47" s="11" t="s">
        <v>62</v>
      </c>
      <c r="AC47" s="12" t="s">
        <v>63</v>
      </c>
      <c r="AD47" s="11" t="s">
        <v>43</v>
      </c>
      <c r="AE47" s="12" t="s">
        <v>44</v>
      </c>
      <c r="AF47" s="14">
        <f t="shared" si="0"/>
        <v>0.1994264</v>
      </c>
      <c r="AG47" s="11" t="s">
        <v>64</v>
      </c>
    </row>
    <row r="48" spans="1:33" x14ac:dyDescent="0.2">
      <c r="A48" s="8">
        <v>9240</v>
      </c>
      <c r="B48" s="9" t="s">
        <v>198</v>
      </c>
      <c r="C48" s="10">
        <v>43519</v>
      </c>
      <c r="D48" s="11">
        <v>59</v>
      </c>
      <c r="E48" s="12" t="s">
        <v>34</v>
      </c>
      <c r="F48" s="12" t="s">
        <v>34</v>
      </c>
      <c r="G48" s="12" t="s">
        <v>35</v>
      </c>
      <c r="H48" s="12" t="s">
        <v>36</v>
      </c>
      <c r="I48" s="11" t="s">
        <v>208</v>
      </c>
      <c r="J48" s="12" t="s">
        <v>209</v>
      </c>
      <c r="K48" s="13" t="s">
        <v>48</v>
      </c>
      <c r="L48" s="11" t="str">
        <f>"000351"</f>
        <v>000351</v>
      </c>
      <c r="M48" s="10">
        <v>43503</v>
      </c>
      <c r="N48" s="11" t="str">
        <f>"000182"</f>
        <v>000182</v>
      </c>
      <c r="O48" s="10">
        <v>43503</v>
      </c>
      <c r="P48" s="11" t="str">
        <f>"000338"</f>
        <v>000338</v>
      </c>
      <c r="Q48" s="10">
        <v>43503</v>
      </c>
      <c r="R48" s="11"/>
      <c r="S48" s="11" t="str">
        <f>"009352"</f>
        <v>009352</v>
      </c>
      <c r="T48" s="10">
        <v>43518</v>
      </c>
      <c r="U48" s="14">
        <v>17.650300000000001</v>
      </c>
      <c r="V48" s="14">
        <v>2.1620300000000001</v>
      </c>
      <c r="W48" s="14">
        <v>15.48827</v>
      </c>
      <c r="X48" s="11">
        <v>357</v>
      </c>
      <c r="Y48" s="10">
        <v>43519</v>
      </c>
      <c r="Z48" s="11">
        <v>123456789</v>
      </c>
      <c r="AA48" s="12" t="s">
        <v>167</v>
      </c>
      <c r="AB48" s="11" t="s">
        <v>62</v>
      </c>
      <c r="AC48" s="12" t="s">
        <v>63</v>
      </c>
      <c r="AD48" s="11" t="s">
        <v>43</v>
      </c>
      <c r="AE48" s="12" t="s">
        <v>44</v>
      </c>
      <c r="AF48" s="14">
        <f t="shared" si="0"/>
        <v>0.17650300000000002</v>
      </c>
      <c r="AG48" s="11" t="s">
        <v>64</v>
      </c>
    </row>
    <row r="49" spans="1:33" x14ac:dyDescent="0.2">
      <c r="A49" s="8">
        <v>9488</v>
      </c>
      <c r="B49" s="9" t="s">
        <v>210</v>
      </c>
      <c r="C49" s="10">
        <v>43530</v>
      </c>
      <c r="D49" s="11">
        <v>59</v>
      </c>
      <c r="E49" s="12" t="s">
        <v>34</v>
      </c>
      <c r="F49" s="12" t="s">
        <v>34</v>
      </c>
      <c r="G49" s="12" t="s">
        <v>35</v>
      </c>
      <c r="H49" s="12" t="s">
        <v>36</v>
      </c>
      <c r="I49" s="11" t="s">
        <v>211</v>
      </c>
      <c r="J49" s="12" t="s">
        <v>212</v>
      </c>
      <c r="K49" s="13" t="s">
        <v>116</v>
      </c>
      <c r="L49" s="11" t="str">
        <f>"000242"</f>
        <v>000242</v>
      </c>
      <c r="M49" s="10">
        <v>43425</v>
      </c>
      <c r="N49" s="11" t="str">
        <f>"000159"</f>
        <v>000159</v>
      </c>
      <c r="O49" s="10">
        <v>43464</v>
      </c>
      <c r="P49" s="11" t="str">
        <f>"000292"</f>
        <v>000292</v>
      </c>
      <c r="Q49" s="10">
        <v>43464</v>
      </c>
      <c r="R49" s="11"/>
      <c r="S49" s="11" t="str">
        <f>"009522"</f>
        <v>009522</v>
      </c>
      <c r="T49" s="10">
        <v>43526</v>
      </c>
      <c r="U49" s="14">
        <v>1.47204</v>
      </c>
      <c r="V49" s="14">
        <v>0.17494999999999999</v>
      </c>
      <c r="W49" s="14">
        <v>1.2970900000000001</v>
      </c>
      <c r="X49" s="11">
        <v>368</v>
      </c>
      <c r="Y49" s="10">
        <v>43530</v>
      </c>
      <c r="Z49" s="11">
        <v>123456789</v>
      </c>
      <c r="AA49" s="12" t="s">
        <v>213</v>
      </c>
      <c r="AB49" s="11" t="s">
        <v>41</v>
      </c>
      <c r="AC49" s="12" t="s">
        <v>42</v>
      </c>
      <c r="AD49" s="11" t="s">
        <v>43</v>
      </c>
      <c r="AE49" s="12" t="s">
        <v>44</v>
      </c>
      <c r="AF49" s="14">
        <f t="shared" si="0"/>
        <v>1.47204E-2</v>
      </c>
      <c r="AG49" s="11" t="s">
        <v>64</v>
      </c>
    </row>
    <row r="50" spans="1:33" x14ac:dyDescent="0.2">
      <c r="A50" s="8">
        <v>9599</v>
      </c>
      <c r="B50" s="9" t="s">
        <v>210</v>
      </c>
      <c r="C50" s="10">
        <v>43531</v>
      </c>
      <c r="D50" s="11">
        <v>59</v>
      </c>
      <c r="E50" s="12" t="s">
        <v>34</v>
      </c>
      <c r="F50" s="12" t="s">
        <v>34</v>
      </c>
      <c r="G50" s="12" t="s">
        <v>35</v>
      </c>
      <c r="H50" s="12" t="s">
        <v>36</v>
      </c>
      <c r="I50" s="11" t="s">
        <v>214</v>
      </c>
      <c r="J50" s="12" t="s">
        <v>215</v>
      </c>
      <c r="K50" s="13" t="s">
        <v>108</v>
      </c>
      <c r="L50" s="11" t="str">
        <f>"000112"</f>
        <v>000112</v>
      </c>
      <c r="M50" s="10">
        <v>42996</v>
      </c>
      <c r="N50" s="11" t="str">
        <f>"000090"</f>
        <v>000090</v>
      </c>
      <c r="O50" s="10">
        <v>43124</v>
      </c>
      <c r="P50" s="11" t="str">
        <f>"000334"</f>
        <v>000334</v>
      </c>
      <c r="Q50" s="10">
        <v>43124</v>
      </c>
      <c r="R50" s="11"/>
      <c r="S50" s="11" t="str">
        <f>"009494"</f>
        <v>009494</v>
      </c>
      <c r="T50" s="10">
        <v>43525</v>
      </c>
      <c r="U50" s="14">
        <v>24.935860000000002</v>
      </c>
      <c r="V50" s="14">
        <v>2.6785000000000001</v>
      </c>
      <c r="W50" s="14">
        <v>22.257359999999998</v>
      </c>
      <c r="X50" s="11">
        <v>371</v>
      </c>
      <c r="Y50" s="10">
        <v>43531</v>
      </c>
      <c r="Z50" s="11">
        <v>123456789</v>
      </c>
      <c r="AA50" s="12" t="s">
        <v>82</v>
      </c>
      <c r="AB50" s="11" t="s">
        <v>158</v>
      </c>
      <c r="AC50" s="12" t="s">
        <v>159</v>
      </c>
      <c r="AD50" s="11" t="s">
        <v>43</v>
      </c>
      <c r="AE50" s="12" t="s">
        <v>44</v>
      </c>
      <c r="AF50" s="14">
        <f t="shared" si="0"/>
        <v>0.24935860000000001</v>
      </c>
      <c r="AG50" s="11" t="s">
        <v>45</v>
      </c>
    </row>
    <row r="51" spans="1:33" x14ac:dyDescent="0.2">
      <c r="A51" s="8">
        <v>9605</v>
      </c>
      <c r="B51" s="9" t="s">
        <v>210</v>
      </c>
      <c r="C51" s="10">
        <v>43531</v>
      </c>
      <c r="D51" s="11">
        <v>59</v>
      </c>
      <c r="E51" s="12" t="s">
        <v>34</v>
      </c>
      <c r="F51" s="12" t="s">
        <v>34</v>
      </c>
      <c r="G51" s="12" t="s">
        <v>35</v>
      </c>
      <c r="H51" s="12" t="s">
        <v>36</v>
      </c>
      <c r="I51" s="11" t="s">
        <v>216</v>
      </c>
      <c r="J51" s="12" t="s">
        <v>217</v>
      </c>
      <c r="K51" s="13" t="s">
        <v>218</v>
      </c>
      <c r="L51" s="11" t="str">
        <f>"000002"</f>
        <v>000002</v>
      </c>
      <c r="M51" s="10">
        <v>43041</v>
      </c>
      <c r="N51" s="11" t="str">
        <f>"000017"</f>
        <v>000017</v>
      </c>
      <c r="O51" s="10">
        <v>43130</v>
      </c>
      <c r="P51" s="11" t="str">
        <f>"000117"</f>
        <v>000117</v>
      </c>
      <c r="Q51" s="10">
        <v>43130</v>
      </c>
      <c r="R51" s="11"/>
      <c r="S51" s="11" t="str">
        <f>"009500"</f>
        <v>009500</v>
      </c>
      <c r="T51" s="10">
        <v>43525</v>
      </c>
      <c r="U51" s="14">
        <v>99.977699999999999</v>
      </c>
      <c r="V51" s="14">
        <v>9.7927999999999997</v>
      </c>
      <c r="W51" s="14">
        <v>90.184899999999999</v>
      </c>
      <c r="X51" s="11">
        <v>371</v>
      </c>
      <c r="Y51" s="10">
        <v>43531</v>
      </c>
      <c r="Z51" s="11">
        <v>9980949398</v>
      </c>
      <c r="AA51" s="12" t="s">
        <v>219</v>
      </c>
      <c r="AB51" s="11" t="s">
        <v>158</v>
      </c>
      <c r="AC51" s="12" t="s">
        <v>159</v>
      </c>
      <c r="AD51" s="11" t="s">
        <v>220</v>
      </c>
      <c r="AE51" s="12" t="s">
        <v>221</v>
      </c>
      <c r="AF51" s="14">
        <f t="shared" si="0"/>
        <v>0.99977700000000003</v>
      </c>
      <c r="AG51" s="11" t="s">
        <v>45</v>
      </c>
    </row>
    <row r="52" spans="1:33" x14ac:dyDescent="0.2">
      <c r="A52" s="8">
        <v>9731</v>
      </c>
      <c r="B52" s="9" t="s">
        <v>210</v>
      </c>
      <c r="C52" s="10">
        <v>43540</v>
      </c>
      <c r="D52" s="11">
        <v>59</v>
      </c>
      <c r="E52" s="12" t="s">
        <v>34</v>
      </c>
      <c r="F52" s="12" t="s">
        <v>34</v>
      </c>
      <c r="G52" s="12" t="s">
        <v>35</v>
      </c>
      <c r="H52" s="12" t="s">
        <v>36</v>
      </c>
      <c r="I52" s="11" t="s">
        <v>222</v>
      </c>
      <c r="J52" s="12" t="s">
        <v>223</v>
      </c>
      <c r="K52" s="13" t="s">
        <v>48</v>
      </c>
      <c r="L52" s="11" t="str">
        <f>"000212"</f>
        <v>000212</v>
      </c>
      <c r="M52" s="10">
        <v>43118</v>
      </c>
      <c r="N52" s="11" t="str">
        <f>"000143"</f>
        <v>000143</v>
      </c>
      <c r="O52" s="10">
        <v>43426</v>
      </c>
      <c r="P52" s="11" t="str">
        <f>"000265"</f>
        <v>000265</v>
      </c>
      <c r="Q52" s="10">
        <v>43426</v>
      </c>
      <c r="R52" s="11"/>
      <c r="S52" s="11" t="str">
        <f>"009705"</f>
        <v>009705</v>
      </c>
      <c r="T52" s="10">
        <v>43537</v>
      </c>
      <c r="U52" s="14">
        <v>29.881129999999999</v>
      </c>
      <c r="V52" s="14">
        <v>3.5020799999999999</v>
      </c>
      <c r="W52" s="14">
        <v>26.379049999999999</v>
      </c>
      <c r="X52" s="11">
        <v>377</v>
      </c>
      <c r="Y52" s="10">
        <v>43540</v>
      </c>
      <c r="Z52" s="11">
        <v>123456789</v>
      </c>
      <c r="AA52" s="12" t="s">
        <v>132</v>
      </c>
      <c r="AB52" s="11" t="s">
        <v>184</v>
      </c>
      <c r="AC52" s="12" t="s">
        <v>185</v>
      </c>
      <c r="AD52" s="11" t="s">
        <v>43</v>
      </c>
      <c r="AE52" s="12" t="s">
        <v>44</v>
      </c>
      <c r="AF52" s="14">
        <f t="shared" si="0"/>
        <v>0.2988113</v>
      </c>
      <c r="AG52" s="11" t="s">
        <v>85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2019-06-13T07:41:53Z</dcterms:modified>
</cp:coreProperties>
</file>