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8" i="1" l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<sst xmlns="http://schemas.openxmlformats.org/spreadsheetml/2006/main" count="831" uniqueCount="229">
  <si>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</si>
  <si>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</si>
  <si>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</si>
  <si>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</si>
  <si>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</si>
  <si>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</si>
  <si>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</si>
  <si>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</si>
  <si>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</si>
  <si>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</si>
  <si>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</si>
  <si>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</si>
  <si>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</si>
  <si>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</si>
  <si>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</si>
  <si>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</si>
  <si>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</si>
  <si>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</si>
  <si>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</si>
  <si>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</si>
  <si>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</si>
  <si>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</si>
  <si>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</si>
  <si>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</si>
  <si>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</si>
  <si>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</si>
  <si>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</si>
  <si>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</si>
  <si>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</si>
  <si>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</si>
  <si>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</si>
  <si>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</si>
  <si>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</si>
  <si>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</si>
  <si>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SK Garden</t>
  </si>
  <si>
    <t>Pulikeshi Nagara</t>
  </si>
  <si>
    <t>East</t>
  </si>
  <si>
    <t>061-16-000003</t>
  </si>
  <si>
    <t>REMOVAL OF SLABS AND DESILTING WORK IN MADHINA MOHALLA QUATRAS AND SURROUNDING AREA IN WARD NO 61</t>
  </si>
  <si>
    <t>Other Ward Works</t>
  </si>
  <si>
    <t>N. Rajkumar</t>
  </si>
  <si>
    <t>P1771</t>
  </si>
  <si>
    <t>Zone Works - POW Works</t>
  </si>
  <si>
    <t>ddo080</t>
  </si>
  <si>
    <t xml:space="preserve"> Assistant Executive Engineer Pulikeshinagar East Zone</t>
  </si>
  <si>
    <t>Pending</t>
  </si>
  <si>
    <t>061-16-000005</t>
  </si>
  <si>
    <t>REMOVING SLABS AND DESILTING WORK IN MODERN SCHOOL AT KGF BUILDING AND MODI MAIN ROAD IN WARD NO 61</t>
  </si>
  <si>
    <t>061-17-000103</t>
  </si>
  <si>
    <t>Engagement of Gangman and Hiring of Tractor Tiper for clening and maintenance of road side drins and other clening works in ward no 61</t>
  </si>
  <si>
    <t>N.M. Raffi</t>
  </si>
  <si>
    <t>P3110</t>
  </si>
  <si>
    <t>14th Finance Commission Grant Works</t>
  </si>
  <si>
    <t>061-17-000043</t>
  </si>
  <si>
    <t xml:space="preserve">Providing and fixing of LED Street lights in Ward No 61 in Pulakeshinagar Division </t>
  </si>
  <si>
    <t>Footpaths &amp; Walkability</t>
  </si>
  <si>
    <t xml:space="preserve">M/s.Ganga Enterprises </t>
  </si>
  <si>
    <t>ddo089</t>
  </si>
  <si>
    <t xml:space="preserve"> Assistant Executive Engineer Electrical East Zone</t>
  </si>
  <si>
    <t>061-18-000028</t>
  </si>
  <si>
    <t>PROVIDING CC ROADS STO AK COLONY AND CROSS AND SURROUNDING AREAS IN WARD NO 61</t>
  </si>
  <si>
    <t>Roads &amp; Drivablility</t>
  </si>
  <si>
    <t>M/s KRIDL</t>
  </si>
  <si>
    <t>P1878</t>
  </si>
  <si>
    <t>18per - Works (Bhagyajyothi, Sooru / Neeru Yojane and General) (54 Lakhs / New Wards)</t>
  </si>
  <si>
    <t>Spill Over</t>
  </si>
  <si>
    <t>061-18-000026</t>
  </si>
  <si>
    <t>IMPROVEMENTS OF DRAINS IN MODI CROSS ROADS FROM 1ST TO 5TH CROSS AND SURROUNDING AREAS IN WARD NO 61</t>
  </si>
  <si>
    <t>061-18-000027</t>
  </si>
  <si>
    <t>IMPROVEMENTS OF DRAINS IN MODI CROSS ROADS FROM 6TH TO 11TH CROSS AND SURROUNDING AREAS IN WARD NO 61</t>
  </si>
  <si>
    <t>061-18-000029</t>
  </si>
  <si>
    <t>PROVIDING CC ROAD TO KURINARAYANA LAYOUT AND SURROUNDING AREAS IN WARD NO 61</t>
  </si>
  <si>
    <t>061-18-000030</t>
  </si>
  <si>
    <t>Providing energy efficient street lights and timers to Muslim Burial ground in Tannery road in ward no 61</t>
  </si>
  <si>
    <t>M/s.KRIDL</t>
  </si>
  <si>
    <t>P3111</t>
  </si>
  <si>
    <t>State Finance Commission Untied Grant Works</t>
  </si>
  <si>
    <t>May</t>
  </si>
  <si>
    <t>061-17-000007</t>
  </si>
  <si>
    <t>Improvements to roads and drains of N C Colony surrounding area in ward no 61</t>
  </si>
  <si>
    <t>KRIDL</t>
  </si>
  <si>
    <t>P0190</t>
  </si>
  <si>
    <t>Works sanctioned by Hon Mayor</t>
  </si>
  <si>
    <t>061-13-000063</t>
  </si>
  <si>
    <t>DESILTING AT LEFT SIDE TANNERY ROAD PERIAR CIRCLE TO EDGA MASJID IN WARD NO 61 S K GARDEN</t>
  </si>
  <si>
    <t>H. Dhananjaya</t>
  </si>
  <si>
    <t>June</t>
  </si>
  <si>
    <t>061-16-000011</t>
  </si>
  <si>
    <t>IMPROVEMENTS TO CULVERTS IN DJ HALLI IN WARD NO 61</t>
  </si>
  <si>
    <t>B.K. Usha</t>
  </si>
  <si>
    <t>061-16-000013</t>
  </si>
  <si>
    <t>IMPROVEMENTS TO CULVERTS IN AK COLONY IN WARD NO 61</t>
  </si>
  <si>
    <t>061-16-000015</t>
  </si>
  <si>
    <t>ENGAGING TRACTOR AND LABOUR FOR MAINTENANCE OF WARD NO 61</t>
  </si>
  <si>
    <t>B.S. Nayana</t>
  </si>
  <si>
    <t>July</t>
  </si>
  <si>
    <t>061-16-000020</t>
  </si>
  <si>
    <t>ASPHALTING TO BAD ROADS IN WARD NO 61</t>
  </si>
  <si>
    <t>Sri. V.L. Muniraju</t>
  </si>
  <si>
    <t>P3106</t>
  </si>
  <si>
    <t>Nagarothana Works</t>
  </si>
  <si>
    <t>061-16-000024</t>
  </si>
  <si>
    <t>Providing LED Lights, Control wire, switchs, Poles,cable, etc to the Muslium Burral ground S K Garden in ward no 61</t>
  </si>
  <si>
    <t>P2178</t>
  </si>
  <si>
    <t>Works sanctioned by Dy. Mayor</t>
  </si>
  <si>
    <t>061-16-000025</t>
  </si>
  <si>
    <t>Providing LED Lights, Control wire, switchs, Poles,cable, etc to S K Garden in ward no61</t>
  </si>
  <si>
    <t>061-16-000001</t>
  </si>
  <si>
    <t>REMOVAL OF DEBRIS AND OLD STOCK MATERIAL IN WARD NO 61</t>
  </si>
  <si>
    <t>Health &amp; Sanitation</t>
  </si>
  <si>
    <t>August</t>
  </si>
  <si>
    <t>061-16-000006</t>
  </si>
  <si>
    <t>PROVIDING AND LAYING CC ROAD AND ROAD CUT PORTION FOR WATER AND SANITARY LINE IN WARD NO 61</t>
  </si>
  <si>
    <t>061-17-000014</t>
  </si>
  <si>
    <t>PROVIDING DRINKING WATER SUPPLY AND PROVIDING NEW BORE WELLS IN SC/ST AREA WARD NO 61</t>
  </si>
  <si>
    <t>Drinking Water</t>
  </si>
  <si>
    <t>P2023</t>
  </si>
  <si>
    <t>Allocation for Other Programmes (10.88 Lakhs , New Ward)</t>
  </si>
  <si>
    <t>Current</t>
  </si>
  <si>
    <t>061-17-000020</t>
  </si>
  <si>
    <t>Providing LED lights at ward jurisidictions in ward no 61</t>
  </si>
  <si>
    <t>061-16-000012</t>
  </si>
  <si>
    <t>IMPROVEMENTS TO CULVERTS IN SK GARDEN IN WARD NO 61</t>
  </si>
  <si>
    <t>September</t>
  </si>
  <si>
    <t>061-17-000023</t>
  </si>
  <si>
    <t>Renovation of bbmp office buildings in ward no 61</t>
  </si>
  <si>
    <t>V Devanand</t>
  </si>
  <si>
    <t>061-17-000100</t>
  </si>
  <si>
    <t>Providing New Borewells and Mini water supply line in S K Garden Ward Jurisdiction at Ward no 61</t>
  </si>
  <si>
    <t>Water &amp; Sanitary</t>
  </si>
  <si>
    <t>P3075</t>
  </si>
  <si>
    <t>Special comprehensive development works in Bangalore city (Bangalore city in charge Minister Discretionary Grants)</t>
  </si>
  <si>
    <t>November</t>
  </si>
  <si>
    <t>061-18-000076</t>
  </si>
  <si>
    <t xml:space="preserve">Construction of Compound wall to Indira Canteen at Pottery Town in Ward No. 61 </t>
  </si>
  <si>
    <t>Indira Canteen</t>
  </si>
  <si>
    <t>December</t>
  </si>
  <si>
    <t>061-17-000025</t>
  </si>
  <si>
    <t>Improvement of drain and missing slabs in ward no 61</t>
  </si>
  <si>
    <t>Hombegowda</t>
  </si>
  <si>
    <t>061-17-000024</t>
  </si>
  <si>
    <t>Removal of debris and Dismantling material of old Building in Ward No 61</t>
  </si>
  <si>
    <t>Public Amenities</t>
  </si>
  <si>
    <t>061-14-000027</t>
  </si>
  <si>
    <t>Construction of Drain at Modi Main road in ward no 61 S K Garden</t>
  </si>
  <si>
    <t>R. Chandrashekar</t>
  </si>
  <si>
    <t>P0541</t>
  </si>
  <si>
    <t>Emergency Reserve Fund</t>
  </si>
  <si>
    <t>061-18-000057</t>
  </si>
  <si>
    <t>IMPROVEMENTS OF ROADS AND DRAINS AT POTTERY TOWN AND SURROUNDINGS AREA IN WARD NO 61 SK GARDEN</t>
  </si>
  <si>
    <t>061-18-000060</t>
  </si>
  <si>
    <t>IMPROVEMENTS OF ROADS AND DRAINS AT BANGARAGIRI AND SURROUNDINGS AREA IN WARD NO 61 SK GARDEN</t>
  </si>
  <si>
    <t>061-16-000009</t>
  </si>
  <si>
    <t>IMPROVEMENT OF DRAINS AND CULVERTS AT 9TH TO 10TH CROSS MODI ROAD IN WARD NO 61</t>
  </si>
  <si>
    <t>B.R. Pradeep</t>
  </si>
  <si>
    <t>061-14-000025</t>
  </si>
  <si>
    <t>Providing laying of CC Road (left side) Modima Mohalla Quarters in ward no 61 S K Garden</t>
  </si>
  <si>
    <t>061-14-000063</t>
  </si>
  <si>
    <t>Improvements of drain (bad drains) and covering slabs in ward no 61</t>
  </si>
  <si>
    <t>061-17-000028</t>
  </si>
  <si>
    <t>Providing and laying of concrette in gandhi grama in ward no 61</t>
  </si>
  <si>
    <t>061-14-000028</t>
  </si>
  <si>
    <t>Providing and laying of CC Road (Right side) Modina Mohalla Quarters in ward no 61 S K Garden</t>
  </si>
  <si>
    <t>Chandrashekar</t>
  </si>
  <si>
    <t>January</t>
  </si>
  <si>
    <t>M/s Alcon Consulting Engineer (India) Pvt Ltd</t>
  </si>
  <si>
    <t>061-17-000038</t>
  </si>
  <si>
    <t>Desiling of drain in joseph garden main road in ward no 61</t>
  </si>
  <si>
    <t>G.C. Kiran Kumar</t>
  </si>
  <si>
    <t>March</t>
  </si>
  <si>
    <t>061-18-000064</t>
  </si>
  <si>
    <t>IMPROVEMENTS OF ROADS AND DRAINS AT BYADARAHALLI LANE AND SURROUNDINGS AREA IN WARD NO 61 SK GARDEN</t>
  </si>
  <si>
    <t>061-18-000059</t>
  </si>
  <si>
    <t>PROVIDING CC ROADS AT WILLIAMS TOWN AND SURROUNDINGS AREA IN WARD NO 61 SK GARDEN</t>
  </si>
  <si>
    <t>061-18-000063</t>
  </si>
  <si>
    <t>IMPROVEMENTS OF DRAINS AT BASAPPA LANE AND SURROUNDIGS AREA IN WARD NO 61 SK GARDEN</t>
  </si>
  <si>
    <t>061-17-000016</t>
  </si>
  <si>
    <t>IMPROVEMENTS OF BBMP BUILDINGS IN WARD NO 61</t>
  </si>
  <si>
    <t>061-18-000035</t>
  </si>
  <si>
    <t>Maintenance of public Toilet works in ward no 61 S K Garden</t>
  </si>
  <si>
    <t xml:space="preserve">M/s KRIDL </t>
  </si>
  <si>
    <t>P3294</t>
  </si>
  <si>
    <t>14th Finance Commission Works - General Public ToiletandSeptage Maintenance</t>
  </si>
  <si>
    <t>061-18-000033</t>
  </si>
  <si>
    <t>Providing Chain link Fencing to parks in ward no 61 S K Garden</t>
  </si>
  <si>
    <t>Trees, Parks &amp; Playgrounds</t>
  </si>
  <si>
    <t>P3292</t>
  </si>
  <si>
    <t>14th Finance Commission Works - Community Property Maintenance (including Parks)</t>
  </si>
  <si>
    <t>061-18-000032</t>
  </si>
  <si>
    <t>Maintenance of BBMP offices in ward no 61 S K Garden</t>
  </si>
  <si>
    <t>P3291</t>
  </si>
  <si>
    <t>14th Fin  -Maintenance of Cremotorium, Burial Grounds</t>
  </si>
  <si>
    <t>061-18-000038</t>
  </si>
  <si>
    <t>Desililting of secondary water in ward no 61 S K Garden</t>
  </si>
  <si>
    <t>P3297</t>
  </si>
  <si>
    <t>14th Finance Commission Grants - SWD Works</t>
  </si>
  <si>
    <t>061-18-000037</t>
  </si>
  <si>
    <t>Improvements Footpath and drain at Pottery road and surroundings in ward no 61 S K Garden</t>
  </si>
  <si>
    <t>P3296</t>
  </si>
  <si>
    <t>14th Finance Commission Works - Road and Footpath Maintenance</t>
  </si>
  <si>
    <t>061-18-000034</t>
  </si>
  <si>
    <t>Providing and Drinking water supply and Restoration work in ward no 61 S K Garden</t>
  </si>
  <si>
    <t>P3293</t>
  </si>
  <si>
    <t>14th Finance Commission Works - Drinking Water</t>
  </si>
  <si>
    <t>061-17-000027</t>
  </si>
  <si>
    <t>Improvements of culverts in S.K.Garden and D.J.Halli in ward no 61</t>
  </si>
  <si>
    <t>Sridhar Ramaiah</t>
  </si>
  <si>
    <t>061-17-000029</t>
  </si>
  <si>
    <t>Providing and laying of concrette Roads in 1 st main S.K.Garden slum in ward no 61</t>
  </si>
  <si>
    <t>061-17-000026</t>
  </si>
  <si>
    <t xml:space="preserve">Providing and laying of concrete Roads in williams town and surroundings area in ward no 61 </t>
  </si>
  <si>
    <t>061-17-000037</t>
  </si>
  <si>
    <t>Desiling of drain in modi bangarigiri layout in ward no 61</t>
  </si>
  <si>
    <t>S. Koushal</t>
  </si>
  <si>
    <t>061-18-000031</t>
  </si>
  <si>
    <t>Providing and Maintenance of street lights in ward no 61 S K Garden</t>
  </si>
  <si>
    <t>P3290</t>
  </si>
  <si>
    <t>14th Finance Commission Works - Providing Street Lights and Maintenance</t>
  </si>
  <si>
    <t>061-18-000010</t>
  </si>
  <si>
    <t>Providing RCC Drain at Pottary Road Railway Compound and surrounding area in ward no 61 S.K. Garden</t>
  </si>
  <si>
    <t>P3319</t>
  </si>
  <si>
    <t>Special Development works at ward No.61 Rs.6Cr, Ward 62 Rs.9 Cr,</t>
  </si>
  <si>
    <t>061-17-000032</t>
  </si>
  <si>
    <t>Improvements of drain in harris road in ward no 61</t>
  </si>
  <si>
    <t>T. Ravishankar</t>
  </si>
  <si>
    <t>061-17-000105</t>
  </si>
  <si>
    <t>WATERSUPPLY WORKS IN WARD NO 61 SK GARDEN</t>
  </si>
  <si>
    <t>P1802</t>
  </si>
  <si>
    <t>Water Supply New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</si>
</sst>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tabSelected="1" workbookViewId="0">
      <pane ySplit="1" topLeftCell="A2" activePane="bottomLeft" state="frozen"/>
      <selection activeCell="H1" sqref="H1"/>
      <selection pane="bottomLeft" activeCell="A2" sqref="A2:XFD58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613</v>
      </c>
      <c r="B2" s="9" t="s">
        <v>33</v>
      </c>
      <c r="C2" s="10">
        <v>43214</v>
      </c>
      <c r="D2" s="11">
        <v>61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"000114"</f>
        <v>000114</v>
      </c>
      <c r="M2" s="10">
        <v>42537</v>
      </c>
      <c r="N2" s="11" t="str">
        <f>"000027"</f>
        <v>000027</v>
      </c>
      <c r="O2" s="10">
        <v>42581</v>
      </c>
      <c r="P2" s="11" t="str">
        <f>"000157"</f>
        <v>000157</v>
      </c>
      <c r="Q2" s="10">
        <v>42581</v>
      </c>
      <c r="R2" s="11">
        <v>16</v>
      </c>
      <c r="S2" s="11" t="str">
        <f>"000585"</f>
        <v>000585</v>
      </c>
      <c r="T2" s="10">
        <v>43203</v>
      </c>
      <c r="U2" s="14">
        <v>2.63578</v>
      </c>
      <c r="V2" s="14">
        <v>0.26175999999999999</v>
      </c>
      <c r="W2" s="14">
        <v>2.3740199999999998</v>
      </c>
      <c r="X2" s="11">
        <v>23</v>
      </c>
      <c r="Y2" s="10">
        <v>43214</v>
      </c>
      <c r="Z2" s="11">
        <v>8453360508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2.6357800000000001E-2</v>
      </c>
      <c r="AG2" s="11" t="s">
        <v>45</v>
      </c>
    </row>
    <row r="3" spans="1:33" x14ac:dyDescent="0.2">
      <c r="A3" s="8">
        <v>614</v>
      </c>
      <c r="B3" s="9" t="s">
        <v>33</v>
      </c>
      <c r="C3" s="10">
        <v>43214</v>
      </c>
      <c r="D3" s="11">
        <v>61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"000116"</f>
        <v>000116</v>
      </c>
      <c r="M3" s="10">
        <v>42537</v>
      </c>
      <c r="N3" s="11" t="str">
        <f>"000028"</f>
        <v>000028</v>
      </c>
      <c r="O3" s="10">
        <v>42581</v>
      </c>
      <c r="P3" s="11" t="str">
        <f>"000158"</f>
        <v>000158</v>
      </c>
      <c r="Q3" s="10">
        <v>42581</v>
      </c>
      <c r="R3" s="11">
        <v>16</v>
      </c>
      <c r="S3" s="11" t="str">
        <f>"000587"</f>
        <v>000587</v>
      </c>
      <c r="T3" s="10">
        <v>43203</v>
      </c>
      <c r="U3" s="14">
        <v>2.69007</v>
      </c>
      <c r="V3" s="14">
        <v>0.25908999999999999</v>
      </c>
      <c r="W3" s="14">
        <v>2.4309799999999999</v>
      </c>
      <c r="X3" s="11">
        <v>23</v>
      </c>
      <c r="Y3" s="10">
        <v>43214</v>
      </c>
      <c r="Z3" s="11">
        <v>8453360508</v>
      </c>
      <c r="AA3" s="12" t="s">
        <v>40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2.69007E-2</v>
      </c>
      <c r="AG3" s="11" t="s">
        <v>45</v>
      </c>
    </row>
    <row r="4" spans="1:33" x14ac:dyDescent="0.2">
      <c r="A4" s="8">
        <v>656</v>
      </c>
      <c r="B4" s="9" t="s">
        <v>33</v>
      </c>
      <c r="C4" s="10">
        <v>43215</v>
      </c>
      <c r="D4" s="11">
        <v>61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48</v>
      </c>
      <c r="J4" s="12" t="s">
        <v>49</v>
      </c>
      <c r="K4" s="13" t="s">
        <v>39</v>
      </c>
      <c r="L4" s="11" t="str">
        <f>"000054"</f>
        <v>000054</v>
      </c>
      <c r="M4" s="10">
        <v>42999</v>
      </c>
      <c r="N4" s="11" t="str">
        <f>"000073"</f>
        <v>000073</v>
      </c>
      <c r="O4" s="10">
        <v>43132</v>
      </c>
      <c r="P4" s="11" t="str">
        <f>"000138"</f>
        <v>000138</v>
      </c>
      <c r="Q4" s="10">
        <v>43132</v>
      </c>
      <c r="R4" s="11">
        <v>17</v>
      </c>
      <c r="S4" s="11" t="str">
        <f>"000612"</f>
        <v>000612</v>
      </c>
      <c r="T4" s="10">
        <v>43209</v>
      </c>
      <c r="U4" s="14">
        <v>6.1243999999999996</v>
      </c>
      <c r="V4" s="14">
        <v>0.13020000000000001</v>
      </c>
      <c r="W4" s="14">
        <v>5.9942000000000002</v>
      </c>
      <c r="X4" s="11">
        <v>24</v>
      </c>
      <c r="Y4" s="10">
        <v>43215</v>
      </c>
      <c r="Z4" s="11">
        <v>9448119972</v>
      </c>
      <c r="AA4" s="12" t="s">
        <v>50</v>
      </c>
      <c r="AB4" s="11" t="s">
        <v>51</v>
      </c>
      <c r="AC4" s="12" t="s">
        <v>52</v>
      </c>
      <c r="AD4" s="11" t="s">
        <v>43</v>
      </c>
      <c r="AE4" s="12" t="s">
        <v>44</v>
      </c>
      <c r="AF4" s="14">
        <v>6.1243999999999993E-2</v>
      </c>
      <c r="AG4" s="11" t="s">
        <v>45</v>
      </c>
    </row>
    <row r="5" spans="1:33" x14ac:dyDescent="0.2">
      <c r="A5" s="8">
        <v>657</v>
      </c>
      <c r="B5" s="9" t="s">
        <v>33</v>
      </c>
      <c r="C5" s="10">
        <v>43215</v>
      </c>
      <c r="D5" s="11">
        <v>61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53</v>
      </c>
      <c r="J5" s="12" t="s">
        <v>54</v>
      </c>
      <c r="K5" s="13" t="s">
        <v>55</v>
      </c>
      <c r="L5" s="11" t="str">
        <f>"000150"</f>
        <v>000150</v>
      </c>
      <c r="M5" s="10">
        <v>43186</v>
      </c>
      <c r="N5" s="11" t="str">
        <f>"000218"</f>
        <v>000218</v>
      </c>
      <c r="O5" s="10">
        <v>43187</v>
      </c>
      <c r="P5" s="11" t="str">
        <f>"000207"</f>
        <v>000207</v>
      </c>
      <c r="Q5" s="10">
        <v>43187</v>
      </c>
      <c r="R5" s="11">
        <v>17</v>
      </c>
      <c r="S5" s="11" t="str">
        <f>"000619"</f>
        <v>000619</v>
      </c>
      <c r="T5" s="10">
        <v>43209</v>
      </c>
      <c r="U5" s="14">
        <v>5.7829100000000002</v>
      </c>
      <c r="V5" s="14">
        <v>0.18559999999999999</v>
      </c>
      <c r="W5" s="14">
        <v>5.5973100000000002</v>
      </c>
      <c r="X5" s="11">
        <v>24</v>
      </c>
      <c r="Y5" s="10">
        <v>43215</v>
      </c>
      <c r="Z5" s="11">
        <v>9620096296</v>
      </c>
      <c r="AA5" s="12" t="s">
        <v>56</v>
      </c>
      <c r="AB5" s="11" t="s">
        <v>51</v>
      </c>
      <c r="AC5" s="12" t="s">
        <v>52</v>
      </c>
      <c r="AD5" s="11" t="s">
        <v>57</v>
      </c>
      <c r="AE5" s="12" t="s">
        <v>58</v>
      </c>
      <c r="AF5" s="14">
        <v>5.7829100000000001E-2</v>
      </c>
      <c r="AG5" s="11" t="s">
        <v>45</v>
      </c>
    </row>
    <row r="6" spans="1:33" x14ac:dyDescent="0.2">
      <c r="A6" s="8">
        <v>707</v>
      </c>
      <c r="B6" s="9" t="s">
        <v>33</v>
      </c>
      <c r="C6" s="10">
        <v>43216</v>
      </c>
      <c r="D6" s="11">
        <v>61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59</v>
      </c>
      <c r="J6" s="12" t="s">
        <v>60</v>
      </c>
      <c r="K6" s="13" t="s">
        <v>61</v>
      </c>
      <c r="L6" s="11" t="str">
        <f>"000178"</f>
        <v>000178</v>
      </c>
      <c r="M6" s="10">
        <v>43105</v>
      </c>
      <c r="N6" s="11" t="str">
        <f>"000003"</f>
        <v>000003</v>
      </c>
      <c r="O6" s="10">
        <v>43194</v>
      </c>
      <c r="P6" s="11" t="str">
        <f>"000004"</f>
        <v>000004</v>
      </c>
      <c r="Q6" s="10">
        <v>43194</v>
      </c>
      <c r="R6" s="11">
        <v>18</v>
      </c>
      <c r="S6" s="11" t="str">
        <f>"000631"</f>
        <v>000631</v>
      </c>
      <c r="T6" s="10">
        <v>43214</v>
      </c>
      <c r="U6" s="14">
        <v>49.814999999999998</v>
      </c>
      <c r="V6" s="14">
        <v>4.9269999999999996</v>
      </c>
      <c r="W6" s="14">
        <v>44.887999999999998</v>
      </c>
      <c r="X6" s="11">
        <v>25</v>
      </c>
      <c r="Y6" s="10">
        <v>43216</v>
      </c>
      <c r="Z6" s="11">
        <v>9845028772</v>
      </c>
      <c r="AA6" s="12" t="s">
        <v>62</v>
      </c>
      <c r="AB6" s="11" t="s">
        <v>63</v>
      </c>
      <c r="AC6" s="12" t="s">
        <v>64</v>
      </c>
      <c r="AD6" s="11" t="s">
        <v>43</v>
      </c>
      <c r="AE6" s="12" t="s">
        <v>44</v>
      </c>
      <c r="AF6" s="14">
        <v>0.49814999999999998</v>
      </c>
      <c r="AG6" s="11" t="s">
        <v>65</v>
      </c>
    </row>
    <row r="7" spans="1:33" x14ac:dyDescent="0.2">
      <c r="A7" s="8">
        <v>708</v>
      </c>
      <c r="B7" s="9" t="s">
        <v>33</v>
      </c>
      <c r="C7" s="10">
        <v>43216</v>
      </c>
      <c r="D7" s="11">
        <v>61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66</v>
      </c>
      <c r="J7" s="12" t="s">
        <v>67</v>
      </c>
      <c r="K7" s="13" t="s">
        <v>55</v>
      </c>
      <c r="L7" s="11" t="str">
        <f>"000179"</f>
        <v>000179</v>
      </c>
      <c r="M7" s="10">
        <v>43105</v>
      </c>
      <c r="N7" s="11" t="str">
        <f>"000001"</f>
        <v>000001</v>
      </c>
      <c r="O7" s="10">
        <v>43194</v>
      </c>
      <c r="P7" s="11" t="str">
        <f>"000006"</f>
        <v>000006</v>
      </c>
      <c r="Q7" s="10">
        <v>43194</v>
      </c>
      <c r="R7" s="11">
        <v>18</v>
      </c>
      <c r="S7" s="11" t="str">
        <f>"000632"</f>
        <v>000632</v>
      </c>
      <c r="T7" s="10">
        <v>43214</v>
      </c>
      <c r="U7" s="14">
        <v>49.945999999999998</v>
      </c>
      <c r="V7" s="14">
        <v>3.63</v>
      </c>
      <c r="W7" s="14">
        <v>46.316000000000003</v>
      </c>
      <c r="X7" s="11">
        <v>25</v>
      </c>
      <c r="Y7" s="10">
        <v>43216</v>
      </c>
      <c r="Z7" s="11">
        <v>9845028772</v>
      </c>
      <c r="AA7" s="12" t="s">
        <v>62</v>
      </c>
      <c r="AB7" s="11" t="s">
        <v>63</v>
      </c>
      <c r="AC7" s="12" t="s">
        <v>64</v>
      </c>
      <c r="AD7" s="11" t="s">
        <v>43</v>
      </c>
      <c r="AE7" s="12" t="s">
        <v>44</v>
      </c>
      <c r="AF7" s="14">
        <v>0.49945999999999996</v>
      </c>
      <c r="AG7" s="11" t="s">
        <v>65</v>
      </c>
    </row>
    <row r="8" spans="1:33" x14ac:dyDescent="0.2">
      <c r="A8" s="8">
        <v>709</v>
      </c>
      <c r="B8" s="9" t="s">
        <v>33</v>
      </c>
      <c r="C8" s="10">
        <v>43216</v>
      </c>
      <c r="D8" s="11">
        <v>61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68</v>
      </c>
      <c r="J8" s="12" t="s">
        <v>69</v>
      </c>
      <c r="K8" s="13" t="s">
        <v>55</v>
      </c>
      <c r="L8" s="11" t="str">
        <f>"000177"</f>
        <v>000177</v>
      </c>
      <c r="M8" s="10">
        <v>43105</v>
      </c>
      <c r="N8" s="11" t="str">
        <f>"000002"</f>
        <v>000002</v>
      </c>
      <c r="O8" s="10">
        <v>43194</v>
      </c>
      <c r="P8" s="11" t="str">
        <f>"000005"</f>
        <v>000005</v>
      </c>
      <c r="Q8" s="10">
        <v>43194</v>
      </c>
      <c r="R8" s="11">
        <v>18</v>
      </c>
      <c r="S8" s="11" t="str">
        <f>"000633"</f>
        <v>000633</v>
      </c>
      <c r="T8" s="10">
        <v>43214</v>
      </c>
      <c r="U8" s="14">
        <v>49.923679999999997</v>
      </c>
      <c r="V8" s="14">
        <v>4.5979999999999999</v>
      </c>
      <c r="W8" s="14">
        <v>45.325679999999998</v>
      </c>
      <c r="X8" s="11">
        <v>25</v>
      </c>
      <c r="Y8" s="10">
        <v>43216</v>
      </c>
      <c r="Z8" s="11">
        <v>9845028772</v>
      </c>
      <c r="AA8" s="12" t="s">
        <v>62</v>
      </c>
      <c r="AB8" s="11" t="s">
        <v>63</v>
      </c>
      <c r="AC8" s="12" t="s">
        <v>64</v>
      </c>
      <c r="AD8" s="11" t="s">
        <v>43</v>
      </c>
      <c r="AE8" s="12" t="s">
        <v>44</v>
      </c>
      <c r="AF8" s="14">
        <v>0.49923679999999998</v>
      </c>
      <c r="AG8" s="11" t="s">
        <v>65</v>
      </c>
    </row>
    <row r="9" spans="1:33" x14ac:dyDescent="0.2">
      <c r="A9" s="8">
        <v>710</v>
      </c>
      <c r="B9" s="9" t="s">
        <v>33</v>
      </c>
      <c r="C9" s="10">
        <v>43216</v>
      </c>
      <c r="D9" s="11">
        <v>61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70</v>
      </c>
      <c r="J9" s="12" t="s">
        <v>71</v>
      </c>
      <c r="K9" s="13" t="s">
        <v>61</v>
      </c>
      <c r="L9" s="11" t="str">
        <f>"000176"</f>
        <v>000176</v>
      </c>
      <c r="M9" s="10">
        <v>43105</v>
      </c>
      <c r="N9" s="11" t="str">
        <f>"000004"</f>
        <v>000004</v>
      </c>
      <c r="O9" s="10">
        <v>43194</v>
      </c>
      <c r="P9" s="11" t="str">
        <f>"000007"</f>
        <v>000007</v>
      </c>
      <c r="Q9" s="10">
        <v>43194</v>
      </c>
      <c r="R9" s="11">
        <v>18</v>
      </c>
      <c r="S9" s="11" t="str">
        <f>"000634"</f>
        <v>000634</v>
      </c>
      <c r="T9" s="10">
        <v>43214</v>
      </c>
      <c r="U9" s="14">
        <v>49.83</v>
      </c>
      <c r="V9" s="14">
        <v>4.9420000000000002</v>
      </c>
      <c r="W9" s="14">
        <v>44.887999999999998</v>
      </c>
      <c r="X9" s="11">
        <v>25</v>
      </c>
      <c r="Y9" s="10">
        <v>43216</v>
      </c>
      <c r="Z9" s="11">
        <v>9845028772</v>
      </c>
      <c r="AA9" s="12" t="s">
        <v>62</v>
      </c>
      <c r="AB9" s="11" t="s">
        <v>63</v>
      </c>
      <c r="AC9" s="12" t="s">
        <v>64</v>
      </c>
      <c r="AD9" s="11" t="s">
        <v>43</v>
      </c>
      <c r="AE9" s="12" t="s">
        <v>44</v>
      </c>
      <c r="AF9" s="14">
        <v>0.49829999999999997</v>
      </c>
      <c r="AG9" s="11" t="s">
        <v>65</v>
      </c>
    </row>
    <row r="10" spans="1:33" x14ac:dyDescent="0.2">
      <c r="A10" s="8">
        <v>711</v>
      </c>
      <c r="B10" s="9" t="s">
        <v>33</v>
      </c>
      <c r="C10" s="10">
        <v>43216</v>
      </c>
      <c r="D10" s="11">
        <v>61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72</v>
      </c>
      <c r="J10" s="12" t="s">
        <v>73</v>
      </c>
      <c r="K10" s="13" t="s">
        <v>55</v>
      </c>
      <c r="L10" s="11" t="str">
        <f>"000154"</f>
        <v>000154</v>
      </c>
      <c r="M10" s="10">
        <v>43187</v>
      </c>
      <c r="N10" s="11" t="str">
        <f>"000220"</f>
        <v>000220</v>
      </c>
      <c r="O10" s="10">
        <v>43187</v>
      </c>
      <c r="P10" s="11" t="str">
        <f>"000209"</f>
        <v>000209</v>
      </c>
      <c r="Q10" s="10">
        <v>43187</v>
      </c>
      <c r="R10" s="11">
        <v>18</v>
      </c>
      <c r="S10" s="11" t="str">
        <f>"000660"</f>
        <v>000660</v>
      </c>
      <c r="T10" s="10">
        <v>43214</v>
      </c>
      <c r="U10" s="14">
        <v>74.963220000000007</v>
      </c>
      <c r="V10" s="14">
        <v>7.9467999999999996</v>
      </c>
      <c r="W10" s="14">
        <v>67.016419999999997</v>
      </c>
      <c r="X10" s="11">
        <v>27</v>
      </c>
      <c r="Y10" s="10">
        <v>43216</v>
      </c>
      <c r="Z10" s="11">
        <v>9945525730</v>
      </c>
      <c r="AA10" s="12" t="s">
        <v>74</v>
      </c>
      <c r="AB10" s="11" t="s">
        <v>75</v>
      </c>
      <c r="AC10" s="12" t="s">
        <v>76</v>
      </c>
      <c r="AD10" s="11" t="s">
        <v>57</v>
      </c>
      <c r="AE10" s="12" t="s">
        <v>58</v>
      </c>
      <c r="AF10" s="14">
        <v>0.74963220000000008</v>
      </c>
      <c r="AG10" s="11" t="s">
        <v>45</v>
      </c>
    </row>
    <row r="11" spans="1:33" x14ac:dyDescent="0.2">
      <c r="A11" s="8">
        <v>1427</v>
      </c>
      <c r="B11" s="9" t="s">
        <v>77</v>
      </c>
      <c r="C11" s="10">
        <v>43242</v>
      </c>
      <c r="D11" s="11">
        <v>61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78</v>
      </c>
      <c r="J11" s="12" t="s">
        <v>79</v>
      </c>
      <c r="K11" s="13" t="s">
        <v>61</v>
      </c>
      <c r="L11" s="11" t="str">
        <f>"000O77"</f>
        <v>000O77</v>
      </c>
      <c r="M11" s="10">
        <v>42907</v>
      </c>
      <c r="N11" s="11" t="str">
        <f>"000072"</f>
        <v>000072</v>
      </c>
      <c r="O11" s="10">
        <v>43131</v>
      </c>
      <c r="P11" s="11" t="str">
        <f>"000134"</f>
        <v>000134</v>
      </c>
      <c r="Q11" s="10">
        <v>43131</v>
      </c>
      <c r="R11" s="11">
        <v>17</v>
      </c>
      <c r="S11" s="11" t="str">
        <f>"001606"</f>
        <v>001606</v>
      </c>
      <c r="T11" s="10">
        <v>43239</v>
      </c>
      <c r="U11" s="14">
        <v>19.623000000000001</v>
      </c>
      <c r="V11" s="14">
        <v>12.916969999999999</v>
      </c>
      <c r="W11" s="14">
        <v>6.7060300000000002</v>
      </c>
      <c r="X11" s="11">
        <v>60</v>
      </c>
      <c r="Y11" s="10">
        <v>43242</v>
      </c>
      <c r="Z11" s="11">
        <v>9448119972</v>
      </c>
      <c r="AA11" s="12" t="s">
        <v>80</v>
      </c>
      <c r="AB11" s="11" t="s">
        <v>81</v>
      </c>
      <c r="AC11" s="12" t="s">
        <v>82</v>
      </c>
      <c r="AD11" s="11" t="s">
        <v>43</v>
      </c>
      <c r="AE11" s="12" t="s">
        <v>44</v>
      </c>
      <c r="AF11" s="14">
        <v>0.19623000000000002</v>
      </c>
      <c r="AG11" s="11" t="s">
        <v>45</v>
      </c>
    </row>
    <row r="12" spans="1:33" x14ac:dyDescent="0.2">
      <c r="A12" s="8">
        <v>1513</v>
      </c>
      <c r="B12" s="9" t="s">
        <v>77</v>
      </c>
      <c r="C12" s="10">
        <v>43251</v>
      </c>
      <c r="D12" s="11">
        <v>61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83</v>
      </c>
      <c r="J12" s="12" t="s">
        <v>84</v>
      </c>
      <c r="K12" s="13" t="s">
        <v>39</v>
      </c>
      <c r="L12" s="11" t="str">
        <f>"000324"</f>
        <v>000324</v>
      </c>
      <c r="M12" s="10">
        <v>41690</v>
      </c>
      <c r="N12" s="11" t="str">
        <f>"000039"</f>
        <v>000039</v>
      </c>
      <c r="O12" s="10">
        <v>42581</v>
      </c>
      <c r="P12" s="11" t="str">
        <f>"000200"</f>
        <v>000200</v>
      </c>
      <c r="Q12" s="10">
        <v>42581</v>
      </c>
      <c r="R12" s="11">
        <v>13</v>
      </c>
      <c r="S12" s="11" t="str">
        <f>"001701"</f>
        <v>001701</v>
      </c>
      <c r="T12" s="10">
        <v>43242</v>
      </c>
      <c r="U12" s="14">
        <v>2.0679400000000001</v>
      </c>
      <c r="V12" s="14">
        <v>0.18543000000000001</v>
      </c>
      <c r="W12" s="14">
        <v>1.8825099999999999</v>
      </c>
      <c r="X12" s="11">
        <v>67</v>
      </c>
      <c r="Y12" s="10">
        <v>43251</v>
      </c>
      <c r="Z12" s="11">
        <v>9845843173</v>
      </c>
      <c r="AA12" s="12" t="s">
        <v>85</v>
      </c>
      <c r="AB12" s="11" t="s">
        <v>41</v>
      </c>
      <c r="AC12" s="12" t="s">
        <v>42</v>
      </c>
      <c r="AD12" s="11" t="s">
        <v>43</v>
      </c>
      <c r="AE12" s="12" t="s">
        <v>44</v>
      </c>
      <c r="AF12" s="14">
        <v>2.0679400000000001E-2</v>
      </c>
      <c r="AG12" s="11" t="s">
        <v>45</v>
      </c>
    </row>
    <row r="13" spans="1:33" x14ac:dyDescent="0.2">
      <c r="A13" s="8">
        <v>2527</v>
      </c>
      <c r="B13" s="9" t="s">
        <v>86</v>
      </c>
      <c r="C13" s="10">
        <v>43274</v>
      </c>
      <c r="D13" s="11">
        <v>61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87</v>
      </c>
      <c r="J13" s="12" t="s">
        <v>88</v>
      </c>
      <c r="K13" s="13" t="s">
        <v>61</v>
      </c>
      <c r="L13" s="11" t="str">
        <f>"000054"</f>
        <v>000054</v>
      </c>
      <c r="M13" s="10">
        <v>42509</v>
      </c>
      <c r="N13" s="11" t="str">
        <f>"000064"</f>
        <v>000064</v>
      </c>
      <c r="O13" s="10">
        <v>42631</v>
      </c>
      <c r="P13" s="11" t="str">
        <f>"000298"</f>
        <v>000298</v>
      </c>
      <c r="Q13" s="10">
        <v>42670</v>
      </c>
      <c r="R13" s="11">
        <v>16</v>
      </c>
      <c r="S13" s="11" t="str">
        <f>"002781"</f>
        <v>002781</v>
      </c>
      <c r="T13" s="10">
        <v>43271</v>
      </c>
      <c r="U13" s="14">
        <v>4.9280400000000002</v>
      </c>
      <c r="V13" s="14">
        <v>0.41322999999999999</v>
      </c>
      <c r="W13" s="14">
        <v>4.5148099999999998</v>
      </c>
      <c r="X13" s="11">
        <v>99</v>
      </c>
      <c r="Y13" s="10">
        <v>43274</v>
      </c>
      <c r="Z13" s="11">
        <v>9900419194</v>
      </c>
      <c r="AA13" s="12" t="s">
        <v>89</v>
      </c>
      <c r="AB13" s="11" t="s">
        <v>41</v>
      </c>
      <c r="AC13" s="12" t="s">
        <v>42</v>
      </c>
      <c r="AD13" s="11" t="s">
        <v>43</v>
      </c>
      <c r="AE13" s="12" t="s">
        <v>44</v>
      </c>
      <c r="AF13" s="14">
        <v>4.9280400000000002E-2</v>
      </c>
      <c r="AG13" s="11" t="s">
        <v>45</v>
      </c>
    </row>
    <row r="14" spans="1:33" x14ac:dyDescent="0.2">
      <c r="A14" s="8">
        <v>2528</v>
      </c>
      <c r="B14" s="9" t="s">
        <v>86</v>
      </c>
      <c r="C14" s="10">
        <v>43274</v>
      </c>
      <c r="D14" s="11">
        <v>61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90</v>
      </c>
      <c r="J14" s="12" t="s">
        <v>91</v>
      </c>
      <c r="K14" s="13" t="s">
        <v>61</v>
      </c>
      <c r="L14" s="11" t="str">
        <f>"000053"</f>
        <v>000053</v>
      </c>
      <c r="M14" s="10">
        <v>42509</v>
      </c>
      <c r="N14" s="11" t="str">
        <f>"000065"</f>
        <v>000065</v>
      </c>
      <c r="O14" s="10">
        <v>42631</v>
      </c>
      <c r="P14" s="11" t="str">
        <f>"000300"</f>
        <v>000300</v>
      </c>
      <c r="Q14" s="10">
        <v>42670</v>
      </c>
      <c r="R14" s="11">
        <v>16</v>
      </c>
      <c r="S14" s="11" t="str">
        <f>"002786"</f>
        <v>002786</v>
      </c>
      <c r="T14" s="10">
        <v>43271</v>
      </c>
      <c r="U14" s="14">
        <v>2.76573</v>
      </c>
      <c r="V14" s="14">
        <v>0.22850000000000001</v>
      </c>
      <c r="W14" s="14">
        <v>2.5372300000000001</v>
      </c>
      <c r="X14" s="11">
        <v>99</v>
      </c>
      <c r="Y14" s="10">
        <v>43274</v>
      </c>
      <c r="Z14" s="11">
        <v>9900419194</v>
      </c>
      <c r="AA14" s="12" t="s">
        <v>89</v>
      </c>
      <c r="AB14" s="11" t="s">
        <v>41</v>
      </c>
      <c r="AC14" s="12" t="s">
        <v>42</v>
      </c>
      <c r="AD14" s="11" t="s">
        <v>43</v>
      </c>
      <c r="AE14" s="12" t="s">
        <v>44</v>
      </c>
      <c r="AF14" s="14">
        <v>2.7657299999999999E-2</v>
      </c>
      <c r="AG14" s="11" t="s">
        <v>45</v>
      </c>
    </row>
    <row r="15" spans="1:33" x14ac:dyDescent="0.2">
      <c r="A15" s="8">
        <v>2529</v>
      </c>
      <c r="B15" s="9" t="s">
        <v>86</v>
      </c>
      <c r="C15" s="10">
        <v>43274</v>
      </c>
      <c r="D15" s="11">
        <v>61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92</v>
      </c>
      <c r="J15" s="12" t="s">
        <v>93</v>
      </c>
      <c r="K15" s="13" t="s">
        <v>39</v>
      </c>
      <c r="L15" s="11" t="str">
        <f>"000119"</f>
        <v>000119</v>
      </c>
      <c r="M15" s="10">
        <v>42578</v>
      </c>
      <c r="N15" s="11" t="str">
        <f>"000067"</f>
        <v>000067</v>
      </c>
      <c r="O15" s="10">
        <v>42631</v>
      </c>
      <c r="P15" s="11" t="str">
        <f>"000301"</f>
        <v>000301</v>
      </c>
      <c r="Q15" s="10">
        <v>42670</v>
      </c>
      <c r="R15" s="11">
        <v>16</v>
      </c>
      <c r="S15" s="11" t="str">
        <f>"002789"</f>
        <v>002789</v>
      </c>
      <c r="T15" s="10">
        <v>43271</v>
      </c>
      <c r="U15" s="14">
        <v>2.4367000000000001</v>
      </c>
      <c r="V15" s="14">
        <v>5.1249999999999997E-2</v>
      </c>
      <c r="W15" s="14">
        <v>2.3854500000000001</v>
      </c>
      <c r="X15" s="11">
        <v>99</v>
      </c>
      <c r="Y15" s="10">
        <v>43274</v>
      </c>
      <c r="Z15" s="11">
        <v>9620306428</v>
      </c>
      <c r="AA15" s="12" t="s">
        <v>94</v>
      </c>
      <c r="AB15" s="11" t="s">
        <v>41</v>
      </c>
      <c r="AC15" s="12" t="s">
        <v>42</v>
      </c>
      <c r="AD15" s="11" t="s">
        <v>43</v>
      </c>
      <c r="AE15" s="12" t="s">
        <v>44</v>
      </c>
      <c r="AF15" s="14">
        <v>2.4367E-2</v>
      </c>
      <c r="AG15" s="11" t="s">
        <v>45</v>
      </c>
    </row>
    <row r="16" spans="1:33" x14ac:dyDescent="0.2">
      <c r="A16" s="8">
        <v>2835</v>
      </c>
      <c r="B16" s="9" t="s">
        <v>95</v>
      </c>
      <c r="C16" s="10">
        <v>43283</v>
      </c>
      <c r="D16" s="11">
        <v>61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96</v>
      </c>
      <c r="J16" s="12" t="s">
        <v>97</v>
      </c>
      <c r="K16" s="13" t="s">
        <v>61</v>
      </c>
      <c r="L16" s="11" t="str">
        <f>"000174"</f>
        <v>000174</v>
      </c>
      <c r="M16" s="10">
        <v>42699</v>
      </c>
      <c r="N16" s="11" t="str">
        <f>"000011"</f>
        <v>000011</v>
      </c>
      <c r="O16" s="10">
        <v>43242</v>
      </c>
      <c r="P16" s="11" t="str">
        <f>"000036"</f>
        <v>000036</v>
      </c>
      <c r="Q16" s="10">
        <v>43242</v>
      </c>
      <c r="R16" s="11">
        <v>16</v>
      </c>
      <c r="S16" s="11" t="str">
        <f>"003168"</f>
        <v>003168</v>
      </c>
      <c r="T16" s="10">
        <v>43280</v>
      </c>
      <c r="U16" s="14">
        <v>39.192219999999999</v>
      </c>
      <c r="V16" s="14">
        <v>1.5293000000000001</v>
      </c>
      <c r="W16" s="14">
        <v>37.66292</v>
      </c>
      <c r="X16" s="11">
        <v>105</v>
      </c>
      <c r="Y16" s="10">
        <v>43283</v>
      </c>
      <c r="Z16" s="11">
        <v>9986072837</v>
      </c>
      <c r="AA16" s="12" t="s">
        <v>98</v>
      </c>
      <c r="AB16" s="11" t="s">
        <v>99</v>
      </c>
      <c r="AC16" s="12" t="s">
        <v>100</v>
      </c>
      <c r="AD16" s="11" t="s">
        <v>43</v>
      </c>
      <c r="AE16" s="12" t="s">
        <v>44</v>
      </c>
      <c r="AF16" s="14">
        <v>0.3919222</v>
      </c>
      <c r="AG16" s="11" t="s">
        <v>65</v>
      </c>
    </row>
    <row r="17" spans="1:33" x14ac:dyDescent="0.2">
      <c r="A17" s="8">
        <v>2836</v>
      </c>
      <c r="B17" s="9" t="s">
        <v>95</v>
      </c>
      <c r="C17" s="10">
        <v>43283</v>
      </c>
      <c r="D17" s="11">
        <v>61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101</v>
      </c>
      <c r="J17" s="12" t="s">
        <v>102</v>
      </c>
      <c r="K17" s="13" t="s">
        <v>55</v>
      </c>
      <c r="L17" s="11" t="str">
        <f>"000014"</f>
        <v>000014</v>
      </c>
      <c r="M17" s="10">
        <v>42500</v>
      </c>
      <c r="N17" s="11" t="str">
        <f>"087"</f>
        <v>087</v>
      </c>
      <c r="O17" s="10">
        <v>16</v>
      </c>
      <c r="P17" s="11" t="str">
        <f>"260"</f>
        <v>260</v>
      </c>
      <c r="Q17" s="10">
        <v>16</v>
      </c>
      <c r="R17" s="11">
        <v>16</v>
      </c>
      <c r="S17" s="11" t="str">
        <f>"002971"</f>
        <v>002971</v>
      </c>
      <c r="T17" s="10">
        <v>43276</v>
      </c>
      <c r="U17" s="14">
        <v>2.3481299999999998</v>
      </c>
      <c r="V17" s="14">
        <v>0.35354000000000002</v>
      </c>
      <c r="W17" s="14">
        <v>1.9945900000000001</v>
      </c>
      <c r="X17" s="11">
        <v>108</v>
      </c>
      <c r="Y17" s="10">
        <v>43283</v>
      </c>
      <c r="Z17" s="11">
        <v>9845058699</v>
      </c>
      <c r="AA17" s="12" t="s">
        <v>62</v>
      </c>
      <c r="AB17" s="11" t="s">
        <v>103</v>
      </c>
      <c r="AC17" s="12" t="s">
        <v>104</v>
      </c>
      <c r="AD17" s="11" t="s">
        <v>57</v>
      </c>
      <c r="AE17" s="12" t="s">
        <v>58</v>
      </c>
      <c r="AF17" s="14">
        <v>2.3481299999999997E-2</v>
      </c>
      <c r="AG17" s="11" t="s">
        <v>45</v>
      </c>
    </row>
    <row r="18" spans="1:33" x14ac:dyDescent="0.2">
      <c r="A18" s="8">
        <v>2837</v>
      </c>
      <c r="B18" s="9" t="s">
        <v>95</v>
      </c>
      <c r="C18" s="10">
        <v>43283</v>
      </c>
      <c r="D18" s="11">
        <v>61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105</v>
      </c>
      <c r="J18" s="12" t="s">
        <v>106</v>
      </c>
      <c r="K18" s="13" t="s">
        <v>55</v>
      </c>
      <c r="L18" s="11" t="str">
        <f>"000017"</f>
        <v>000017</v>
      </c>
      <c r="M18" s="10">
        <v>42541</v>
      </c>
      <c r="N18" s="11" t="str">
        <f>"088"</f>
        <v>088</v>
      </c>
      <c r="O18" s="10">
        <v>16</v>
      </c>
      <c r="P18" s="11" t="str">
        <f>"261"</f>
        <v>261</v>
      </c>
      <c r="Q18" s="10">
        <v>16</v>
      </c>
      <c r="R18" s="11">
        <v>16</v>
      </c>
      <c r="S18" s="11" t="str">
        <f>"002972"</f>
        <v>002972</v>
      </c>
      <c r="T18" s="10">
        <v>43276</v>
      </c>
      <c r="U18" s="14">
        <v>2.32938</v>
      </c>
      <c r="V18" s="14">
        <v>0.35071999999999998</v>
      </c>
      <c r="W18" s="14">
        <v>1.9786600000000001</v>
      </c>
      <c r="X18" s="11">
        <v>108</v>
      </c>
      <c r="Y18" s="10">
        <v>43283</v>
      </c>
      <c r="Z18" s="11">
        <v>9845058699</v>
      </c>
      <c r="AA18" s="12" t="s">
        <v>62</v>
      </c>
      <c r="AB18" s="11" t="s">
        <v>103</v>
      </c>
      <c r="AC18" s="12" t="s">
        <v>104</v>
      </c>
      <c r="AD18" s="11" t="s">
        <v>57</v>
      </c>
      <c r="AE18" s="12" t="s">
        <v>58</v>
      </c>
      <c r="AF18" s="14">
        <v>2.32938E-2</v>
      </c>
      <c r="AG18" s="11" t="s">
        <v>45</v>
      </c>
    </row>
    <row r="19" spans="1:33" x14ac:dyDescent="0.2">
      <c r="A19" s="8">
        <v>3155</v>
      </c>
      <c r="B19" s="9" t="s">
        <v>95</v>
      </c>
      <c r="C19" s="10">
        <v>43290</v>
      </c>
      <c r="D19" s="11">
        <v>61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107</v>
      </c>
      <c r="J19" s="12" t="s">
        <v>108</v>
      </c>
      <c r="K19" s="13" t="s">
        <v>109</v>
      </c>
      <c r="L19" s="11" t="str">
        <f>"000052"</f>
        <v>000052</v>
      </c>
      <c r="M19" s="10">
        <v>42509</v>
      </c>
      <c r="N19" s="11" t="str">
        <f>"000063"</f>
        <v>000063</v>
      </c>
      <c r="O19" s="10">
        <v>42631</v>
      </c>
      <c r="P19" s="11" t="str">
        <f>"000299"</f>
        <v>000299</v>
      </c>
      <c r="Q19" s="10">
        <v>42670</v>
      </c>
      <c r="R19" s="11">
        <v>16</v>
      </c>
      <c r="S19" s="11" t="str">
        <f>"003359"</f>
        <v>003359</v>
      </c>
      <c r="T19" s="10">
        <v>43288</v>
      </c>
      <c r="U19" s="14">
        <v>1.9906299999999999</v>
      </c>
      <c r="V19" s="14">
        <v>0.12428</v>
      </c>
      <c r="W19" s="14">
        <v>1.86635</v>
      </c>
      <c r="X19" s="11">
        <v>117</v>
      </c>
      <c r="Y19" s="10">
        <v>43290</v>
      </c>
      <c r="Z19" s="11">
        <v>9900419194</v>
      </c>
      <c r="AA19" s="12" t="s">
        <v>89</v>
      </c>
      <c r="AB19" s="11" t="s">
        <v>41</v>
      </c>
      <c r="AC19" s="12" t="s">
        <v>42</v>
      </c>
      <c r="AD19" s="11" t="s">
        <v>43</v>
      </c>
      <c r="AE19" s="12" t="s">
        <v>44</v>
      </c>
      <c r="AF19" s="14">
        <v>1.9906299999999998E-2</v>
      </c>
      <c r="AG19" s="11" t="s">
        <v>45</v>
      </c>
    </row>
    <row r="20" spans="1:33" x14ac:dyDescent="0.2">
      <c r="A20" s="8">
        <v>4439</v>
      </c>
      <c r="B20" s="9" t="s">
        <v>110</v>
      </c>
      <c r="C20" s="10">
        <v>43318</v>
      </c>
      <c r="D20" s="11">
        <v>61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111</v>
      </c>
      <c r="J20" s="12" t="s">
        <v>112</v>
      </c>
      <c r="K20" s="13" t="s">
        <v>61</v>
      </c>
      <c r="L20" s="11" t="str">
        <f>"000128"</f>
        <v>000128</v>
      </c>
      <c r="M20" s="10">
        <v>42608</v>
      </c>
      <c r="N20" s="11" t="str">
        <f>"000066"</f>
        <v>000066</v>
      </c>
      <c r="O20" s="10">
        <v>42631</v>
      </c>
      <c r="P20" s="11" t="str">
        <f>"000296"</f>
        <v>000296</v>
      </c>
      <c r="Q20" s="10">
        <v>42670</v>
      </c>
      <c r="R20" s="11">
        <v>16</v>
      </c>
      <c r="S20" s="11" t="str">
        <f>"004617"</f>
        <v>004617</v>
      </c>
      <c r="T20" s="10">
        <v>43313</v>
      </c>
      <c r="U20" s="14">
        <v>14.28369</v>
      </c>
      <c r="V20" s="14">
        <v>1.1391500000000001</v>
      </c>
      <c r="W20" s="14">
        <v>13.144539999999999</v>
      </c>
      <c r="X20" s="11">
        <v>159</v>
      </c>
      <c r="Y20" s="10">
        <v>43318</v>
      </c>
      <c r="Z20" s="11">
        <v>9620306428</v>
      </c>
      <c r="AA20" s="12" t="s">
        <v>94</v>
      </c>
      <c r="AB20" s="11" t="s">
        <v>41</v>
      </c>
      <c r="AC20" s="12" t="s">
        <v>42</v>
      </c>
      <c r="AD20" s="11" t="s">
        <v>43</v>
      </c>
      <c r="AE20" s="12" t="s">
        <v>44</v>
      </c>
      <c r="AF20" s="14">
        <v>0.14283689999999999</v>
      </c>
      <c r="AG20" s="11" t="s">
        <v>45</v>
      </c>
    </row>
    <row r="21" spans="1:33" x14ac:dyDescent="0.2">
      <c r="A21" s="8">
        <v>4671</v>
      </c>
      <c r="B21" s="9" t="s">
        <v>110</v>
      </c>
      <c r="C21" s="10">
        <v>43325</v>
      </c>
      <c r="D21" s="11">
        <v>61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113</v>
      </c>
      <c r="J21" s="12" t="s">
        <v>114</v>
      </c>
      <c r="K21" s="13" t="s">
        <v>115</v>
      </c>
      <c r="L21" s="11" t="str">
        <f>"000027"</f>
        <v>000027</v>
      </c>
      <c r="M21" s="10">
        <v>43287</v>
      </c>
      <c r="N21" s="11" t="str">
        <f>"000026"</f>
        <v>000026</v>
      </c>
      <c r="O21" s="10">
        <v>43299</v>
      </c>
      <c r="P21" s="11" t="str">
        <f>"000084"</f>
        <v>000084</v>
      </c>
      <c r="Q21" s="10">
        <v>43299</v>
      </c>
      <c r="R21" s="11">
        <v>17</v>
      </c>
      <c r="S21" s="11" t="str">
        <f>"004560"</f>
        <v>004560</v>
      </c>
      <c r="T21" s="10">
        <v>43313</v>
      </c>
      <c r="U21" s="14">
        <v>49.949890000000003</v>
      </c>
      <c r="V21" s="14">
        <v>4.4344999999999999</v>
      </c>
      <c r="W21" s="14">
        <v>45.515389999999996</v>
      </c>
      <c r="X21" s="11">
        <v>166</v>
      </c>
      <c r="Y21" s="10">
        <v>43325</v>
      </c>
      <c r="Z21" s="11">
        <v>9845028772</v>
      </c>
      <c r="AA21" s="12" t="s">
        <v>62</v>
      </c>
      <c r="AB21" s="11" t="s">
        <v>116</v>
      </c>
      <c r="AC21" s="12" t="s">
        <v>117</v>
      </c>
      <c r="AD21" s="11" t="s">
        <v>43</v>
      </c>
      <c r="AE21" s="12" t="s">
        <v>44</v>
      </c>
      <c r="AF21" s="14">
        <v>0.49949890000000002</v>
      </c>
      <c r="AG21" s="11" t="s">
        <v>118</v>
      </c>
    </row>
    <row r="22" spans="1:33" x14ac:dyDescent="0.2">
      <c r="A22" s="8">
        <v>4787</v>
      </c>
      <c r="B22" s="9" t="s">
        <v>110</v>
      </c>
      <c r="C22" s="10">
        <v>43326</v>
      </c>
      <c r="D22" s="11">
        <v>61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92</v>
      </c>
      <c r="J22" s="12" t="s">
        <v>93</v>
      </c>
      <c r="K22" s="13" t="s">
        <v>109</v>
      </c>
      <c r="L22" s="11" t="str">
        <f>"000119"</f>
        <v>000119</v>
      </c>
      <c r="M22" s="10">
        <v>42578</v>
      </c>
      <c r="N22" s="11" t="str">
        <f>"000104"</f>
        <v>000104</v>
      </c>
      <c r="O22" s="10">
        <v>42790</v>
      </c>
      <c r="P22" s="11" t="str">
        <f>"000457"</f>
        <v>000457</v>
      </c>
      <c r="Q22" s="10">
        <v>42795</v>
      </c>
      <c r="R22" s="11">
        <v>16</v>
      </c>
      <c r="S22" s="11" t="str">
        <f>"004913"</f>
        <v>004913</v>
      </c>
      <c r="T22" s="10">
        <v>43318</v>
      </c>
      <c r="U22" s="14">
        <v>4.2831000000000001</v>
      </c>
      <c r="V22" s="14">
        <v>0.09</v>
      </c>
      <c r="W22" s="14">
        <v>4.1931000000000003</v>
      </c>
      <c r="X22" s="11">
        <v>170</v>
      </c>
      <c r="Y22" s="10">
        <v>43326</v>
      </c>
      <c r="Z22" s="11">
        <v>9620306428</v>
      </c>
      <c r="AA22" s="12" t="s">
        <v>94</v>
      </c>
      <c r="AB22" s="11" t="s">
        <v>41</v>
      </c>
      <c r="AC22" s="12" t="s">
        <v>42</v>
      </c>
      <c r="AD22" s="11" t="s">
        <v>43</v>
      </c>
      <c r="AE22" s="12" t="s">
        <v>44</v>
      </c>
      <c r="AF22" s="14">
        <v>4.2831000000000001E-2</v>
      </c>
      <c r="AG22" s="11" t="s">
        <v>45</v>
      </c>
    </row>
    <row r="23" spans="1:33" x14ac:dyDescent="0.2">
      <c r="A23" s="8">
        <v>4788</v>
      </c>
      <c r="B23" s="9" t="s">
        <v>110</v>
      </c>
      <c r="C23" s="10">
        <v>43326</v>
      </c>
      <c r="D23" s="11">
        <v>61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119</v>
      </c>
      <c r="J23" s="12" t="s">
        <v>120</v>
      </c>
      <c r="K23" s="13" t="s">
        <v>55</v>
      </c>
      <c r="L23" s="11" t="str">
        <f>"000022"</f>
        <v>000022</v>
      </c>
      <c r="M23" s="10">
        <v>42942</v>
      </c>
      <c r="N23" s="11" t="str">
        <f>"000024"</f>
        <v>000024</v>
      </c>
      <c r="O23" s="10">
        <v>42948</v>
      </c>
      <c r="P23" s="11" t="str">
        <f>"000107"</f>
        <v>000107</v>
      </c>
      <c r="Q23" s="10">
        <v>42916</v>
      </c>
      <c r="R23" s="11">
        <v>17</v>
      </c>
      <c r="S23" s="11" t="str">
        <f>"005151"</f>
        <v>005151</v>
      </c>
      <c r="T23" s="10">
        <v>43325</v>
      </c>
      <c r="U23" s="14">
        <v>23.001580000000001</v>
      </c>
      <c r="V23" s="14">
        <v>3.3801999999999999</v>
      </c>
      <c r="W23" s="14">
        <v>19.621379999999998</v>
      </c>
      <c r="X23" s="11">
        <v>172</v>
      </c>
      <c r="Y23" s="10">
        <v>43326</v>
      </c>
      <c r="Z23" s="11">
        <v>9945525730</v>
      </c>
      <c r="AA23" s="12" t="s">
        <v>74</v>
      </c>
      <c r="AB23" s="11" t="s">
        <v>103</v>
      </c>
      <c r="AC23" s="12" t="s">
        <v>104</v>
      </c>
      <c r="AD23" s="11" t="s">
        <v>57</v>
      </c>
      <c r="AE23" s="12" t="s">
        <v>58</v>
      </c>
      <c r="AF23" s="14">
        <v>0.23001579999999999</v>
      </c>
      <c r="AG23" s="11" t="s">
        <v>45</v>
      </c>
    </row>
    <row r="24" spans="1:33" x14ac:dyDescent="0.2">
      <c r="A24" s="8">
        <v>4977</v>
      </c>
      <c r="B24" s="9" t="s">
        <v>110</v>
      </c>
      <c r="C24" s="10">
        <v>43330</v>
      </c>
      <c r="D24" s="11">
        <v>61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121</v>
      </c>
      <c r="J24" s="12" t="s">
        <v>122</v>
      </c>
      <c r="K24" s="13" t="s">
        <v>61</v>
      </c>
      <c r="L24" s="11" t="str">
        <f>"000021"</f>
        <v>000021</v>
      </c>
      <c r="M24" s="10">
        <v>42490</v>
      </c>
      <c r="N24" s="11" t="str">
        <f>"000119"</f>
        <v>000119</v>
      </c>
      <c r="O24" s="10">
        <v>42800</v>
      </c>
      <c r="P24" s="11" t="str">
        <f>"000554"</f>
        <v>000554</v>
      </c>
      <c r="Q24" s="10">
        <v>42825</v>
      </c>
      <c r="R24" s="11">
        <v>16</v>
      </c>
      <c r="S24" s="11" t="str">
        <f>"005221"</f>
        <v>005221</v>
      </c>
      <c r="T24" s="10">
        <v>43326</v>
      </c>
      <c r="U24" s="14">
        <v>2.8298999999999999</v>
      </c>
      <c r="V24" s="14">
        <v>0.21465000000000001</v>
      </c>
      <c r="W24" s="14">
        <v>2.6152500000000001</v>
      </c>
      <c r="X24" s="11">
        <v>174</v>
      </c>
      <c r="Y24" s="10">
        <v>43330</v>
      </c>
      <c r="Z24" s="11">
        <v>9620306428</v>
      </c>
      <c r="AA24" s="12" t="s">
        <v>94</v>
      </c>
      <c r="AB24" s="11" t="s">
        <v>41</v>
      </c>
      <c r="AC24" s="12" t="s">
        <v>42</v>
      </c>
      <c r="AD24" s="11" t="s">
        <v>43</v>
      </c>
      <c r="AE24" s="12" t="s">
        <v>44</v>
      </c>
      <c r="AF24" s="14">
        <v>2.8298999999999998E-2</v>
      </c>
      <c r="AG24" s="11" t="s">
        <v>45</v>
      </c>
    </row>
    <row r="25" spans="1:33" x14ac:dyDescent="0.2">
      <c r="A25" s="8">
        <v>5385</v>
      </c>
      <c r="B25" s="9" t="s">
        <v>123</v>
      </c>
      <c r="C25" s="10">
        <v>43349</v>
      </c>
      <c r="D25" s="11">
        <v>61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48</v>
      </c>
      <c r="J25" s="12" t="s">
        <v>49</v>
      </c>
      <c r="K25" s="13" t="s">
        <v>39</v>
      </c>
      <c r="L25" s="11" t="str">
        <f>"000054"</f>
        <v>000054</v>
      </c>
      <c r="M25" s="10">
        <v>42999</v>
      </c>
      <c r="N25" s="11" t="str">
        <f>"000029"</f>
        <v>000029</v>
      </c>
      <c r="O25" s="10">
        <v>43322</v>
      </c>
      <c r="P25" s="11" t="str">
        <f>"000121"</f>
        <v>000121</v>
      </c>
      <c r="Q25" s="10">
        <v>43325</v>
      </c>
      <c r="R25" s="11">
        <v>17</v>
      </c>
      <c r="S25" s="11" t="str">
        <f>"005609"</f>
        <v>005609</v>
      </c>
      <c r="T25" s="10">
        <v>43347</v>
      </c>
      <c r="U25" s="14">
        <v>5.8330000000000002</v>
      </c>
      <c r="V25" s="14">
        <v>0.126</v>
      </c>
      <c r="W25" s="14">
        <v>5.7069999999999999</v>
      </c>
      <c r="X25" s="11">
        <v>194</v>
      </c>
      <c r="Y25" s="10">
        <v>43349</v>
      </c>
      <c r="Z25" s="11">
        <v>9448119972</v>
      </c>
      <c r="AA25" s="12" t="s">
        <v>50</v>
      </c>
      <c r="AB25" s="11" t="s">
        <v>51</v>
      </c>
      <c r="AC25" s="12" t="s">
        <v>52</v>
      </c>
      <c r="AD25" s="11" t="s">
        <v>43</v>
      </c>
      <c r="AE25" s="12" t="s">
        <v>44</v>
      </c>
      <c r="AF25" s="14">
        <f t="shared" ref="AF25:AF58" si="0">U25/100</f>
        <v>5.833E-2</v>
      </c>
      <c r="AG25" s="11" t="s">
        <v>65</v>
      </c>
    </row>
    <row r="26" spans="1:33" x14ac:dyDescent="0.2">
      <c r="A26" s="8">
        <v>5644</v>
      </c>
      <c r="B26" s="9" t="s">
        <v>123</v>
      </c>
      <c r="C26" s="10">
        <v>43370</v>
      </c>
      <c r="D26" s="11">
        <v>61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124</v>
      </c>
      <c r="J26" s="12" t="s">
        <v>125</v>
      </c>
      <c r="K26" s="13" t="s">
        <v>39</v>
      </c>
      <c r="L26" s="11" t="str">
        <f>"000056"</f>
        <v>000056</v>
      </c>
      <c r="M26" s="10">
        <v>43000</v>
      </c>
      <c r="N26" s="11" t="str">
        <f>"000041"</f>
        <v>000041</v>
      </c>
      <c r="O26" s="10">
        <v>43089</v>
      </c>
      <c r="P26" s="11" t="str">
        <f>"000063"</f>
        <v>000063</v>
      </c>
      <c r="Q26" s="10">
        <v>43090</v>
      </c>
      <c r="R26" s="11">
        <v>17</v>
      </c>
      <c r="S26" s="11" t="str">
        <f>"005918"</f>
        <v>005918</v>
      </c>
      <c r="T26" s="10">
        <v>43368</v>
      </c>
      <c r="U26" s="14">
        <v>9.6857699999999998</v>
      </c>
      <c r="V26" s="14">
        <v>0.42885000000000001</v>
      </c>
      <c r="W26" s="14">
        <v>9.2569199999999991</v>
      </c>
      <c r="X26" s="11">
        <v>218</v>
      </c>
      <c r="Y26" s="10">
        <v>43370</v>
      </c>
      <c r="Z26" s="11">
        <v>9449018969</v>
      </c>
      <c r="AA26" s="12" t="s">
        <v>126</v>
      </c>
      <c r="AB26" s="11" t="s">
        <v>41</v>
      </c>
      <c r="AC26" s="12" t="s">
        <v>42</v>
      </c>
      <c r="AD26" s="11" t="s">
        <v>43</v>
      </c>
      <c r="AE26" s="12" t="s">
        <v>44</v>
      </c>
      <c r="AF26" s="14">
        <f t="shared" si="0"/>
        <v>9.6857699999999991E-2</v>
      </c>
      <c r="AG26" s="11" t="s">
        <v>45</v>
      </c>
    </row>
    <row r="27" spans="1:33" x14ac:dyDescent="0.2">
      <c r="A27" s="8">
        <v>5645</v>
      </c>
      <c r="B27" s="9" t="s">
        <v>123</v>
      </c>
      <c r="C27" s="10">
        <v>43370</v>
      </c>
      <c r="D27" s="11">
        <v>61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127</v>
      </c>
      <c r="J27" s="12" t="s">
        <v>128</v>
      </c>
      <c r="K27" s="13" t="s">
        <v>129</v>
      </c>
      <c r="L27" s="11" t="str">
        <f>"000087"</f>
        <v>000087</v>
      </c>
      <c r="M27" s="10">
        <v>42916</v>
      </c>
      <c r="N27" s="11" t="str">
        <f>"000046"</f>
        <v>000046</v>
      </c>
      <c r="O27" s="10">
        <v>43099</v>
      </c>
      <c r="P27" s="11" t="str">
        <f>"000081"</f>
        <v>000081</v>
      </c>
      <c r="Q27" s="10">
        <v>43099</v>
      </c>
      <c r="R27" s="11">
        <v>17</v>
      </c>
      <c r="S27" s="11" t="str">
        <f>"005941"</f>
        <v>005941</v>
      </c>
      <c r="T27" s="10">
        <v>43368</v>
      </c>
      <c r="U27" s="14">
        <v>49.435600000000001</v>
      </c>
      <c r="V27" s="14">
        <v>4.0493199999999998</v>
      </c>
      <c r="W27" s="14">
        <v>45.386279999999999</v>
      </c>
      <c r="X27" s="11">
        <v>218</v>
      </c>
      <c r="Y27" s="10">
        <v>43370</v>
      </c>
      <c r="Z27" s="11">
        <v>9035660123</v>
      </c>
      <c r="AA27" s="12" t="s">
        <v>62</v>
      </c>
      <c r="AB27" s="11" t="s">
        <v>130</v>
      </c>
      <c r="AC27" s="12" t="s">
        <v>131</v>
      </c>
      <c r="AD27" s="11" t="s">
        <v>43</v>
      </c>
      <c r="AE27" s="12" t="s">
        <v>44</v>
      </c>
      <c r="AF27" s="14">
        <f t="shared" si="0"/>
        <v>0.49435600000000002</v>
      </c>
      <c r="AG27" s="11" t="s">
        <v>45</v>
      </c>
    </row>
    <row r="28" spans="1:33" x14ac:dyDescent="0.2">
      <c r="A28" s="8">
        <v>7323</v>
      </c>
      <c r="B28" s="9" t="s">
        <v>132</v>
      </c>
      <c r="C28" s="10">
        <v>43424</v>
      </c>
      <c r="D28" s="11">
        <v>61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133</v>
      </c>
      <c r="J28" s="12" t="s">
        <v>134</v>
      </c>
      <c r="K28" s="13" t="s">
        <v>135</v>
      </c>
      <c r="L28" s="11" t="str">
        <f>"000002"</f>
        <v>000002</v>
      </c>
      <c r="M28" s="10">
        <v>43238</v>
      </c>
      <c r="N28" s="11" t="str">
        <f>"000014"</f>
        <v>000014</v>
      </c>
      <c r="O28" s="10">
        <v>43258</v>
      </c>
      <c r="P28" s="11" t="str">
        <f>"000047"</f>
        <v>000047</v>
      </c>
      <c r="Q28" s="10">
        <v>43258</v>
      </c>
      <c r="R28" s="11">
        <v>18</v>
      </c>
      <c r="S28" s="11" t="str">
        <f>"007211"</f>
        <v>007211</v>
      </c>
      <c r="T28" s="10">
        <v>43404</v>
      </c>
      <c r="U28" s="14">
        <v>24.9114</v>
      </c>
      <c r="V28" s="14">
        <v>2.3919999999999999</v>
      </c>
      <c r="W28" s="14">
        <v>22.519400000000001</v>
      </c>
      <c r="X28" s="11">
        <v>271</v>
      </c>
      <c r="Y28" s="10">
        <v>43424</v>
      </c>
      <c r="Z28" s="11">
        <v>9448853642</v>
      </c>
      <c r="AA28" s="12" t="s">
        <v>62</v>
      </c>
      <c r="AB28" s="11" t="s">
        <v>99</v>
      </c>
      <c r="AC28" s="12" t="s">
        <v>100</v>
      </c>
      <c r="AD28" s="11" t="s">
        <v>43</v>
      </c>
      <c r="AE28" s="12" t="s">
        <v>44</v>
      </c>
      <c r="AF28" s="14">
        <f t="shared" si="0"/>
        <v>0.249114</v>
      </c>
      <c r="AG28" s="11" t="s">
        <v>118</v>
      </c>
    </row>
    <row r="29" spans="1:33" x14ac:dyDescent="0.2">
      <c r="A29" s="8">
        <v>7505</v>
      </c>
      <c r="B29" s="9" t="s">
        <v>136</v>
      </c>
      <c r="C29" s="10">
        <v>43437</v>
      </c>
      <c r="D29" s="11">
        <v>61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137</v>
      </c>
      <c r="J29" s="12" t="s">
        <v>138</v>
      </c>
      <c r="K29" s="13" t="s">
        <v>55</v>
      </c>
      <c r="L29" s="11" t="str">
        <f>"000262"</f>
        <v>000262</v>
      </c>
      <c r="M29" s="10">
        <v>42825</v>
      </c>
      <c r="N29" s="11" t="str">
        <f>"000023"</f>
        <v>000023</v>
      </c>
      <c r="O29" s="10">
        <v>42884</v>
      </c>
      <c r="P29" s="11" t="str">
        <f>"000090"</f>
        <v>000090</v>
      </c>
      <c r="Q29" s="10">
        <v>42886</v>
      </c>
      <c r="R29" s="11">
        <v>17</v>
      </c>
      <c r="S29" s="11" t="str">
        <f>"007466"</f>
        <v>007466</v>
      </c>
      <c r="T29" s="10">
        <v>43421</v>
      </c>
      <c r="U29" s="14">
        <v>9.6663599999999992</v>
      </c>
      <c r="V29" s="14">
        <v>0.74507999999999996</v>
      </c>
      <c r="W29" s="14">
        <v>8.9212799999999994</v>
      </c>
      <c r="X29" s="11">
        <v>279</v>
      </c>
      <c r="Y29" s="10">
        <v>43437</v>
      </c>
      <c r="Z29" s="11">
        <v>9845028772</v>
      </c>
      <c r="AA29" s="12" t="s">
        <v>139</v>
      </c>
      <c r="AB29" s="11" t="s">
        <v>41</v>
      </c>
      <c r="AC29" s="12" t="s">
        <v>42</v>
      </c>
      <c r="AD29" s="11" t="s">
        <v>43</v>
      </c>
      <c r="AE29" s="12" t="s">
        <v>44</v>
      </c>
      <c r="AF29" s="14">
        <f t="shared" si="0"/>
        <v>9.6663599999999988E-2</v>
      </c>
      <c r="AG29" s="11" t="s">
        <v>45</v>
      </c>
    </row>
    <row r="30" spans="1:33" x14ac:dyDescent="0.2">
      <c r="A30" s="8">
        <v>7506</v>
      </c>
      <c r="B30" s="9" t="s">
        <v>136</v>
      </c>
      <c r="C30" s="10">
        <v>43437</v>
      </c>
      <c r="D30" s="11">
        <v>61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140</v>
      </c>
      <c r="J30" s="12" t="s">
        <v>141</v>
      </c>
      <c r="K30" s="13" t="s">
        <v>142</v>
      </c>
      <c r="L30" s="11" t="str">
        <f>"000266"</f>
        <v>000266</v>
      </c>
      <c r="M30" s="10">
        <v>42825</v>
      </c>
      <c r="N30" s="11" t="str">
        <f>"000025"</f>
        <v>000025</v>
      </c>
      <c r="O30" s="10">
        <v>42884</v>
      </c>
      <c r="P30" s="11" t="str">
        <f>"000092"</f>
        <v>000092</v>
      </c>
      <c r="Q30" s="10">
        <v>42886</v>
      </c>
      <c r="R30" s="11">
        <v>17</v>
      </c>
      <c r="S30" s="11" t="str">
        <f>"007467"</f>
        <v>007467</v>
      </c>
      <c r="T30" s="10">
        <v>43421</v>
      </c>
      <c r="U30" s="14">
        <v>2.99133</v>
      </c>
      <c r="V30" s="14">
        <v>0.18254999999999999</v>
      </c>
      <c r="W30" s="14">
        <v>2.8087800000000001</v>
      </c>
      <c r="X30" s="11">
        <v>279</v>
      </c>
      <c r="Y30" s="10">
        <v>43437</v>
      </c>
      <c r="Z30" s="11">
        <v>9845028772</v>
      </c>
      <c r="AA30" s="12" t="s">
        <v>139</v>
      </c>
      <c r="AB30" s="11" t="s">
        <v>41</v>
      </c>
      <c r="AC30" s="12" t="s">
        <v>42</v>
      </c>
      <c r="AD30" s="11" t="s">
        <v>43</v>
      </c>
      <c r="AE30" s="12" t="s">
        <v>44</v>
      </c>
      <c r="AF30" s="14">
        <f t="shared" si="0"/>
        <v>2.99133E-2</v>
      </c>
      <c r="AG30" s="11" t="s">
        <v>45</v>
      </c>
    </row>
    <row r="31" spans="1:33" x14ac:dyDescent="0.2">
      <c r="A31" s="8">
        <v>7507</v>
      </c>
      <c r="B31" s="9" t="s">
        <v>136</v>
      </c>
      <c r="C31" s="10">
        <v>43437</v>
      </c>
      <c r="D31" s="11">
        <v>61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143</v>
      </c>
      <c r="J31" s="12" t="s">
        <v>144</v>
      </c>
      <c r="K31" s="13" t="s">
        <v>55</v>
      </c>
      <c r="L31" s="11" t="str">
        <f>"000477"</f>
        <v>000477</v>
      </c>
      <c r="M31" s="10">
        <v>41702</v>
      </c>
      <c r="N31" s="11" t="str">
        <f>"000022"</f>
        <v>000022</v>
      </c>
      <c r="O31" s="10">
        <v>42884</v>
      </c>
      <c r="P31" s="11" t="str">
        <f>"000093"</f>
        <v>000093</v>
      </c>
      <c r="Q31" s="10">
        <v>42886</v>
      </c>
      <c r="R31" s="11">
        <v>14</v>
      </c>
      <c r="S31" s="11" t="str">
        <f>"007468"</f>
        <v>007468</v>
      </c>
      <c r="T31" s="10">
        <v>43421</v>
      </c>
      <c r="U31" s="14">
        <v>19.233049999999999</v>
      </c>
      <c r="V31" s="14">
        <v>1.48041</v>
      </c>
      <c r="W31" s="14">
        <v>17.75264</v>
      </c>
      <c r="X31" s="11">
        <v>279</v>
      </c>
      <c r="Y31" s="10">
        <v>43437</v>
      </c>
      <c r="Z31" s="11">
        <v>9845028772</v>
      </c>
      <c r="AA31" s="12" t="s">
        <v>145</v>
      </c>
      <c r="AB31" s="11" t="s">
        <v>146</v>
      </c>
      <c r="AC31" s="12" t="s">
        <v>147</v>
      </c>
      <c r="AD31" s="11" t="s">
        <v>43</v>
      </c>
      <c r="AE31" s="12" t="s">
        <v>44</v>
      </c>
      <c r="AF31" s="14">
        <f t="shared" si="0"/>
        <v>0.19233049999999999</v>
      </c>
      <c r="AG31" s="11" t="s">
        <v>45</v>
      </c>
    </row>
    <row r="32" spans="1:33" x14ac:dyDescent="0.2">
      <c r="A32" s="8">
        <v>7861</v>
      </c>
      <c r="B32" s="9" t="s">
        <v>136</v>
      </c>
      <c r="C32" s="10">
        <v>43453</v>
      </c>
      <c r="D32" s="11">
        <v>61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148</v>
      </c>
      <c r="J32" s="12" t="s">
        <v>149</v>
      </c>
      <c r="K32" s="13" t="s">
        <v>61</v>
      </c>
      <c r="L32" s="11" t="str">
        <f>"000046"</f>
        <v>000046</v>
      </c>
      <c r="M32" s="10">
        <v>43305</v>
      </c>
      <c r="N32" s="11" t="str">
        <f>"000039"</f>
        <v>000039</v>
      </c>
      <c r="O32" s="10">
        <v>43355</v>
      </c>
      <c r="P32" s="11" t="str">
        <f>"000138"</f>
        <v>000138</v>
      </c>
      <c r="Q32" s="10">
        <v>43357</v>
      </c>
      <c r="R32" s="11">
        <v>18</v>
      </c>
      <c r="S32" s="11" t="str">
        <f>"007900"</f>
        <v>007900</v>
      </c>
      <c r="T32" s="10">
        <v>43445</v>
      </c>
      <c r="U32" s="14">
        <v>49.98</v>
      </c>
      <c r="V32" s="14">
        <v>4.9560000000000004</v>
      </c>
      <c r="W32" s="14">
        <v>45.024000000000001</v>
      </c>
      <c r="X32" s="11">
        <v>297</v>
      </c>
      <c r="Y32" s="10">
        <v>43453</v>
      </c>
      <c r="Z32" s="11">
        <v>9448119972</v>
      </c>
      <c r="AA32" s="12" t="s">
        <v>62</v>
      </c>
      <c r="AB32" s="11" t="s">
        <v>63</v>
      </c>
      <c r="AC32" s="12" t="s">
        <v>64</v>
      </c>
      <c r="AD32" s="11" t="s">
        <v>43</v>
      </c>
      <c r="AE32" s="12" t="s">
        <v>44</v>
      </c>
      <c r="AF32" s="14">
        <f t="shared" si="0"/>
        <v>0.49979999999999997</v>
      </c>
      <c r="AG32" s="11" t="s">
        <v>118</v>
      </c>
    </row>
    <row r="33" spans="1:33" x14ac:dyDescent="0.2">
      <c r="A33" s="8">
        <v>7862</v>
      </c>
      <c r="B33" s="9" t="s">
        <v>136</v>
      </c>
      <c r="C33" s="10">
        <v>43453</v>
      </c>
      <c r="D33" s="11">
        <v>61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150</v>
      </c>
      <c r="J33" s="12" t="s">
        <v>151</v>
      </c>
      <c r="K33" s="13" t="s">
        <v>61</v>
      </c>
      <c r="L33" s="11" t="str">
        <f>"000049"</f>
        <v>000049</v>
      </c>
      <c r="M33" s="10">
        <v>43306</v>
      </c>
      <c r="N33" s="11" t="str">
        <f>"000040"</f>
        <v>000040</v>
      </c>
      <c r="O33" s="10">
        <v>43355</v>
      </c>
      <c r="P33" s="11" t="str">
        <f>"000137"</f>
        <v>000137</v>
      </c>
      <c r="Q33" s="10">
        <v>43357</v>
      </c>
      <c r="R33" s="11">
        <v>18</v>
      </c>
      <c r="S33" s="11" t="str">
        <f>"007902"</f>
        <v>007902</v>
      </c>
      <c r="T33" s="10">
        <v>43445</v>
      </c>
      <c r="U33" s="14">
        <v>49.991999999999997</v>
      </c>
      <c r="V33" s="14">
        <v>4.95425</v>
      </c>
      <c r="W33" s="14">
        <v>45.037750000000003</v>
      </c>
      <c r="X33" s="11">
        <v>297</v>
      </c>
      <c r="Y33" s="10">
        <v>43453</v>
      </c>
      <c r="Z33" s="11">
        <v>9448119972</v>
      </c>
      <c r="AA33" s="12" t="s">
        <v>62</v>
      </c>
      <c r="AB33" s="11" t="s">
        <v>63</v>
      </c>
      <c r="AC33" s="12" t="s">
        <v>64</v>
      </c>
      <c r="AD33" s="11" t="s">
        <v>43</v>
      </c>
      <c r="AE33" s="12" t="s">
        <v>44</v>
      </c>
      <c r="AF33" s="14">
        <f t="shared" si="0"/>
        <v>0.49991999999999998</v>
      </c>
      <c r="AG33" s="11" t="s">
        <v>118</v>
      </c>
    </row>
    <row r="34" spans="1:33" x14ac:dyDescent="0.2">
      <c r="A34" s="8">
        <v>7989</v>
      </c>
      <c r="B34" s="9" t="s">
        <v>136</v>
      </c>
      <c r="C34" s="10">
        <v>43455</v>
      </c>
      <c r="D34" s="11">
        <v>61</v>
      </c>
      <c r="E34" s="12" t="s">
        <v>34</v>
      </c>
      <c r="F34" s="12" t="s">
        <v>35</v>
      </c>
      <c r="G34" s="12" t="s">
        <v>35</v>
      </c>
      <c r="H34" s="12" t="s">
        <v>36</v>
      </c>
      <c r="I34" s="11" t="s">
        <v>152</v>
      </c>
      <c r="J34" s="12" t="s">
        <v>153</v>
      </c>
      <c r="K34" s="13" t="s">
        <v>55</v>
      </c>
      <c r="L34" s="11" t="str">
        <f>"000032"</f>
        <v>000032</v>
      </c>
      <c r="M34" s="10">
        <v>42490</v>
      </c>
      <c r="N34" s="11" t="str">
        <f>"000031"</f>
        <v>000031</v>
      </c>
      <c r="O34" s="10">
        <v>42885</v>
      </c>
      <c r="P34" s="11" t="str">
        <f>"000107"</f>
        <v>000107</v>
      </c>
      <c r="Q34" s="10">
        <v>42886</v>
      </c>
      <c r="R34" s="11">
        <v>16</v>
      </c>
      <c r="S34" s="11" t="str">
        <f>"007718"</f>
        <v>007718</v>
      </c>
      <c r="T34" s="10">
        <v>43441</v>
      </c>
      <c r="U34" s="14">
        <v>10.14438</v>
      </c>
      <c r="V34" s="14">
        <v>0.81705000000000005</v>
      </c>
      <c r="W34" s="14">
        <v>9.3273299999999999</v>
      </c>
      <c r="X34" s="11">
        <v>301</v>
      </c>
      <c r="Y34" s="10">
        <v>43455</v>
      </c>
      <c r="Z34" s="11">
        <v>9740744655</v>
      </c>
      <c r="AA34" s="12" t="s">
        <v>154</v>
      </c>
      <c r="AB34" s="11" t="s">
        <v>41</v>
      </c>
      <c r="AC34" s="12" t="s">
        <v>42</v>
      </c>
      <c r="AD34" s="11" t="s">
        <v>43</v>
      </c>
      <c r="AE34" s="12" t="s">
        <v>44</v>
      </c>
      <c r="AF34" s="14">
        <f t="shared" si="0"/>
        <v>0.1014438</v>
      </c>
      <c r="AG34" s="11" t="s">
        <v>45</v>
      </c>
    </row>
    <row r="35" spans="1:33" x14ac:dyDescent="0.2">
      <c r="A35" s="8">
        <v>7990</v>
      </c>
      <c r="B35" s="9" t="s">
        <v>136</v>
      </c>
      <c r="C35" s="10">
        <v>43455</v>
      </c>
      <c r="D35" s="11">
        <v>61</v>
      </c>
      <c r="E35" s="12" t="s">
        <v>34</v>
      </c>
      <c r="F35" s="12" t="s">
        <v>35</v>
      </c>
      <c r="G35" s="12" t="s">
        <v>35</v>
      </c>
      <c r="H35" s="12" t="s">
        <v>36</v>
      </c>
      <c r="I35" s="11" t="s">
        <v>155</v>
      </c>
      <c r="J35" s="12" t="s">
        <v>156</v>
      </c>
      <c r="K35" s="13" t="s">
        <v>61</v>
      </c>
      <c r="L35" s="11" t="str">
        <f>"000488"</f>
        <v>000488</v>
      </c>
      <c r="M35" s="10">
        <v>41702</v>
      </c>
      <c r="N35" s="11" t="str">
        <f>"000021"</f>
        <v>000021</v>
      </c>
      <c r="O35" s="10">
        <v>42884</v>
      </c>
      <c r="P35" s="11" t="str">
        <f>"000089"</f>
        <v>000089</v>
      </c>
      <c r="Q35" s="10">
        <v>42886</v>
      </c>
      <c r="R35" s="11">
        <v>14</v>
      </c>
      <c r="S35" s="11" t="str">
        <f>"007741"</f>
        <v>007741</v>
      </c>
      <c r="T35" s="10">
        <v>43441</v>
      </c>
      <c r="U35" s="14">
        <v>19.485399999999998</v>
      </c>
      <c r="V35" s="14">
        <v>1.49315</v>
      </c>
      <c r="W35" s="14">
        <v>17.992249999999999</v>
      </c>
      <c r="X35" s="11">
        <v>301</v>
      </c>
      <c r="Y35" s="10">
        <v>43455</v>
      </c>
      <c r="Z35" s="11">
        <v>9845028772</v>
      </c>
      <c r="AA35" s="12" t="s">
        <v>139</v>
      </c>
      <c r="AB35" s="11" t="s">
        <v>146</v>
      </c>
      <c r="AC35" s="12" t="s">
        <v>147</v>
      </c>
      <c r="AD35" s="11" t="s">
        <v>43</v>
      </c>
      <c r="AE35" s="12" t="s">
        <v>44</v>
      </c>
      <c r="AF35" s="14">
        <f t="shared" si="0"/>
        <v>0.19485399999999997</v>
      </c>
      <c r="AG35" s="11" t="s">
        <v>45</v>
      </c>
    </row>
    <row r="36" spans="1:33" x14ac:dyDescent="0.2">
      <c r="A36" s="8">
        <v>7991</v>
      </c>
      <c r="B36" s="9" t="s">
        <v>136</v>
      </c>
      <c r="C36" s="10">
        <v>43455</v>
      </c>
      <c r="D36" s="11">
        <v>61</v>
      </c>
      <c r="E36" s="12" t="s">
        <v>34</v>
      </c>
      <c r="F36" s="12" t="s">
        <v>35</v>
      </c>
      <c r="G36" s="12" t="s">
        <v>35</v>
      </c>
      <c r="H36" s="12" t="s">
        <v>36</v>
      </c>
      <c r="I36" s="11" t="s">
        <v>157</v>
      </c>
      <c r="J36" s="12" t="s">
        <v>158</v>
      </c>
      <c r="K36" s="13" t="s">
        <v>55</v>
      </c>
      <c r="L36" s="11" t="str">
        <f>"000522"</f>
        <v>000522</v>
      </c>
      <c r="M36" s="10">
        <v>41702</v>
      </c>
      <c r="N36" s="11" t="str">
        <f>"000020"</f>
        <v>000020</v>
      </c>
      <c r="O36" s="10">
        <v>42884</v>
      </c>
      <c r="P36" s="11" t="str">
        <f>"000088"</f>
        <v>000088</v>
      </c>
      <c r="Q36" s="10">
        <v>42886</v>
      </c>
      <c r="R36" s="11">
        <v>14</v>
      </c>
      <c r="S36" s="11" t="str">
        <f>"007814"</f>
        <v>007814</v>
      </c>
      <c r="T36" s="10">
        <v>43444</v>
      </c>
      <c r="U36" s="14">
        <v>10</v>
      </c>
      <c r="V36" s="14">
        <v>1.4655100000000001</v>
      </c>
      <c r="W36" s="14">
        <v>8.5344899999999999</v>
      </c>
      <c r="X36" s="11">
        <v>301</v>
      </c>
      <c r="Y36" s="10">
        <v>43455</v>
      </c>
      <c r="Z36" s="11">
        <v>9845028772</v>
      </c>
      <c r="AA36" s="12" t="s">
        <v>80</v>
      </c>
      <c r="AB36" s="11" t="s">
        <v>81</v>
      </c>
      <c r="AC36" s="12" t="s">
        <v>82</v>
      </c>
      <c r="AD36" s="11" t="s">
        <v>43</v>
      </c>
      <c r="AE36" s="12" t="s">
        <v>44</v>
      </c>
      <c r="AF36" s="14">
        <f t="shared" si="0"/>
        <v>0.1</v>
      </c>
      <c r="AG36" s="11" t="s">
        <v>45</v>
      </c>
    </row>
    <row r="37" spans="1:33" x14ac:dyDescent="0.2">
      <c r="A37" s="8">
        <v>7992</v>
      </c>
      <c r="B37" s="9" t="s">
        <v>136</v>
      </c>
      <c r="C37" s="10">
        <v>43455</v>
      </c>
      <c r="D37" s="11">
        <v>61</v>
      </c>
      <c r="E37" s="12" t="s">
        <v>34</v>
      </c>
      <c r="F37" s="12" t="s">
        <v>35</v>
      </c>
      <c r="G37" s="12" t="s">
        <v>35</v>
      </c>
      <c r="H37" s="12" t="s">
        <v>36</v>
      </c>
      <c r="I37" s="11" t="s">
        <v>159</v>
      </c>
      <c r="J37" s="12" t="s">
        <v>160</v>
      </c>
      <c r="K37" s="13" t="s">
        <v>39</v>
      </c>
      <c r="L37" s="11" t="str">
        <f>"000269"</f>
        <v>000269</v>
      </c>
      <c r="M37" s="10">
        <v>42825</v>
      </c>
      <c r="N37" s="11" t="str">
        <f>"000024"</f>
        <v>000024</v>
      </c>
      <c r="O37" s="10">
        <v>42884</v>
      </c>
      <c r="P37" s="11" t="str">
        <f>"000091"</f>
        <v>000091</v>
      </c>
      <c r="Q37" s="10">
        <v>42886</v>
      </c>
      <c r="R37" s="11">
        <v>17</v>
      </c>
      <c r="S37" s="11" t="str">
        <f>"007823"</f>
        <v>007823</v>
      </c>
      <c r="T37" s="10">
        <v>43444</v>
      </c>
      <c r="U37" s="14">
        <v>9.6663599999999992</v>
      </c>
      <c r="V37" s="14">
        <v>0.74507999999999996</v>
      </c>
      <c r="W37" s="14">
        <v>8.9212799999999994</v>
      </c>
      <c r="X37" s="11">
        <v>301</v>
      </c>
      <c r="Y37" s="10">
        <v>43455</v>
      </c>
      <c r="Z37" s="11">
        <v>9845028772</v>
      </c>
      <c r="AA37" s="12" t="s">
        <v>139</v>
      </c>
      <c r="AB37" s="11" t="s">
        <v>41</v>
      </c>
      <c r="AC37" s="12" t="s">
        <v>42</v>
      </c>
      <c r="AD37" s="11" t="s">
        <v>43</v>
      </c>
      <c r="AE37" s="12" t="s">
        <v>44</v>
      </c>
      <c r="AF37" s="14">
        <f t="shared" si="0"/>
        <v>9.6663599999999988E-2</v>
      </c>
      <c r="AG37" s="11" t="s">
        <v>45</v>
      </c>
    </row>
    <row r="38" spans="1:33" x14ac:dyDescent="0.2">
      <c r="A38" s="8">
        <v>7993</v>
      </c>
      <c r="B38" s="9" t="s">
        <v>136</v>
      </c>
      <c r="C38" s="10">
        <v>43455</v>
      </c>
      <c r="D38" s="11">
        <v>61</v>
      </c>
      <c r="E38" s="12" t="s">
        <v>34</v>
      </c>
      <c r="F38" s="12" t="s">
        <v>35</v>
      </c>
      <c r="G38" s="12" t="s">
        <v>35</v>
      </c>
      <c r="H38" s="12" t="s">
        <v>36</v>
      </c>
      <c r="I38" s="11" t="s">
        <v>161</v>
      </c>
      <c r="J38" s="12" t="s">
        <v>162</v>
      </c>
      <c r="K38" s="13" t="s">
        <v>61</v>
      </c>
      <c r="L38" s="11" t="str">
        <f>"000478"</f>
        <v>000478</v>
      </c>
      <c r="M38" s="10">
        <v>41702</v>
      </c>
      <c r="N38" s="11" t="str">
        <f>"000019"</f>
        <v>000019</v>
      </c>
      <c r="O38" s="10">
        <v>42884</v>
      </c>
      <c r="P38" s="11" t="str">
        <f>"000094"</f>
        <v>000094</v>
      </c>
      <c r="Q38" s="10">
        <v>42886</v>
      </c>
      <c r="R38" s="11">
        <v>14</v>
      </c>
      <c r="S38" s="11" t="str">
        <f>"007824"</f>
        <v>007824</v>
      </c>
      <c r="T38" s="10">
        <v>43444</v>
      </c>
      <c r="U38" s="14">
        <v>19.335319999999999</v>
      </c>
      <c r="V38" s="14">
        <v>1.6071599999999999</v>
      </c>
      <c r="W38" s="14">
        <v>17.728159999999999</v>
      </c>
      <c r="X38" s="11">
        <v>301</v>
      </c>
      <c r="Y38" s="10">
        <v>43455</v>
      </c>
      <c r="Z38" s="11">
        <v>9845028772</v>
      </c>
      <c r="AA38" s="12" t="s">
        <v>163</v>
      </c>
      <c r="AB38" s="11" t="s">
        <v>146</v>
      </c>
      <c r="AC38" s="12" t="s">
        <v>147</v>
      </c>
      <c r="AD38" s="11" t="s">
        <v>43</v>
      </c>
      <c r="AE38" s="12" t="s">
        <v>44</v>
      </c>
      <c r="AF38" s="14">
        <f t="shared" si="0"/>
        <v>0.1933532</v>
      </c>
      <c r="AG38" s="11" t="s">
        <v>45</v>
      </c>
    </row>
    <row r="39" spans="1:33" x14ac:dyDescent="0.2">
      <c r="A39" s="8">
        <v>8162</v>
      </c>
      <c r="B39" s="9" t="s">
        <v>164</v>
      </c>
      <c r="C39" s="10">
        <v>43466</v>
      </c>
      <c r="D39" s="11">
        <v>61</v>
      </c>
      <c r="E39" s="12" t="s">
        <v>34</v>
      </c>
      <c r="F39" s="12" t="s">
        <v>35</v>
      </c>
      <c r="G39" s="12" t="s">
        <v>35</v>
      </c>
      <c r="H39" s="12" t="s">
        <v>36</v>
      </c>
      <c r="I39" s="11" t="s">
        <v>96</v>
      </c>
      <c r="J39" s="12" t="s">
        <v>97</v>
      </c>
      <c r="K39" s="13" t="s">
        <v>61</v>
      </c>
      <c r="L39" s="11" t="str">
        <f>"000174"</f>
        <v>000174</v>
      </c>
      <c r="M39" s="10">
        <v>42699</v>
      </c>
      <c r="N39" s="11" t="str">
        <f>"000011"</f>
        <v>000011</v>
      </c>
      <c r="O39" s="10">
        <v>43242</v>
      </c>
      <c r="P39" s="11" t="str">
        <f>"000036"</f>
        <v>000036</v>
      </c>
      <c r="Q39" s="10">
        <v>43242</v>
      </c>
      <c r="R39" s="11"/>
      <c r="S39" s="11" t="str">
        <f>"003168"</f>
        <v>003168</v>
      </c>
      <c r="T39" s="10">
        <v>43280</v>
      </c>
      <c r="U39" s="14">
        <v>0.31353999999999999</v>
      </c>
      <c r="V39" s="14">
        <v>3.764E-2</v>
      </c>
      <c r="W39" s="14">
        <v>0.27589999999999998</v>
      </c>
      <c r="X39" s="11">
        <v>308</v>
      </c>
      <c r="Y39" s="10">
        <v>43466</v>
      </c>
      <c r="Z39" s="11">
        <v>9844004676</v>
      </c>
      <c r="AA39" s="12" t="s">
        <v>165</v>
      </c>
      <c r="AB39" s="11" t="s">
        <v>99</v>
      </c>
      <c r="AC39" s="12" t="s">
        <v>100</v>
      </c>
      <c r="AD39" s="11" t="s">
        <v>43</v>
      </c>
      <c r="AE39" s="12" t="s">
        <v>44</v>
      </c>
      <c r="AF39" s="14">
        <f t="shared" si="0"/>
        <v>3.1354E-3</v>
      </c>
      <c r="AG39" s="11" t="s">
        <v>65</v>
      </c>
    </row>
    <row r="40" spans="1:33" x14ac:dyDescent="0.2">
      <c r="A40" s="8">
        <v>8547</v>
      </c>
      <c r="B40" s="9" t="s">
        <v>164</v>
      </c>
      <c r="C40" s="10">
        <v>43475</v>
      </c>
      <c r="D40" s="11">
        <v>61</v>
      </c>
      <c r="E40" s="12" t="s">
        <v>34</v>
      </c>
      <c r="F40" s="12" t="s">
        <v>35</v>
      </c>
      <c r="G40" s="12" t="s">
        <v>35</v>
      </c>
      <c r="H40" s="12" t="s">
        <v>36</v>
      </c>
      <c r="I40" s="11" t="s">
        <v>166</v>
      </c>
      <c r="J40" s="12" t="s">
        <v>167</v>
      </c>
      <c r="K40" s="13" t="s">
        <v>55</v>
      </c>
      <c r="L40" s="11" t="str">
        <f>"000039"</f>
        <v>000039</v>
      </c>
      <c r="M40" s="10">
        <v>42851</v>
      </c>
      <c r="N40" s="11" t="str">
        <f>"000034"</f>
        <v>000034</v>
      </c>
      <c r="O40" s="10">
        <v>42906</v>
      </c>
      <c r="P40" s="11" t="str">
        <f>"000126"</f>
        <v>000126</v>
      </c>
      <c r="Q40" s="10">
        <v>42906</v>
      </c>
      <c r="R40" s="11"/>
      <c r="S40" s="11" t="str">
        <f>"008198"</f>
        <v>008198</v>
      </c>
      <c r="T40" s="10">
        <v>43455</v>
      </c>
      <c r="U40" s="14">
        <v>2.76485</v>
      </c>
      <c r="V40" s="14">
        <v>0.16869999999999999</v>
      </c>
      <c r="W40" s="14">
        <v>2.5961500000000002</v>
      </c>
      <c r="X40" s="11">
        <v>321</v>
      </c>
      <c r="Y40" s="10">
        <v>43475</v>
      </c>
      <c r="Z40" s="11">
        <v>9008002363</v>
      </c>
      <c r="AA40" s="12" t="s">
        <v>168</v>
      </c>
      <c r="AB40" s="11" t="s">
        <v>41</v>
      </c>
      <c r="AC40" s="12" t="s">
        <v>42</v>
      </c>
      <c r="AD40" s="11" t="s">
        <v>43</v>
      </c>
      <c r="AE40" s="12" t="s">
        <v>44</v>
      </c>
      <c r="AF40" s="14">
        <f t="shared" si="0"/>
        <v>2.7648499999999999E-2</v>
      </c>
      <c r="AG40" s="11" t="s">
        <v>45</v>
      </c>
    </row>
    <row r="41" spans="1:33" x14ac:dyDescent="0.2">
      <c r="A41" s="8">
        <v>9418</v>
      </c>
      <c r="B41" s="9" t="s">
        <v>169</v>
      </c>
      <c r="C41" s="10">
        <v>43525</v>
      </c>
      <c r="D41" s="11">
        <v>61</v>
      </c>
      <c r="E41" s="12" t="s">
        <v>34</v>
      </c>
      <c r="F41" s="12" t="s">
        <v>35</v>
      </c>
      <c r="G41" s="12" t="s">
        <v>35</v>
      </c>
      <c r="H41" s="12" t="s">
        <v>36</v>
      </c>
      <c r="I41" s="11" t="s">
        <v>170</v>
      </c>
      <c r="J41" s="12" t="s">
        <v>171</v>
      </c>
      <c r="K41" s="13" t="s">
        <v>61</v>
      </c>
      <c r="L41" s="11" t="str">
        <f>"000045"</f>
        <v>000045</v>
      </c>
      <c r="M41" s="10">
        <v>43305</v>
      </c>
      <c r="N41" s="11" t="str">
        <f>"000052"</f>
        <v>000052</v>
      </c>
      <c r="O41" s="10">
        <v>43370</v>
      </c>
      <c r="P41" s="11" t="str">
        <f>"000155"</f>
        <v>000155</v>
      </c>
      <c r="Q41" s="10">
        <v>43371</v>
      </c>
      <c r="R41" s="11"/>
      <c r="S41" s="11" t="str">
        <f>"009233"</f>
        <v>009233</v>
      </c>
      <c r="T41" s="10">
        <v>43509</v>
      </c>
      <c r="U41" s="14">
        <v>29.99</v>
      </c>
      <c r="V41" s="14">
        <v>3.8671000000000002</v>
      </c>
      <c r="W41" s="14">
        <v>26.122900000000001</v>
      </c>
      <c r="X41" s="11">
        <v>363</v>
      </c>
      <c r="Y41" s="10">
        <v>43525</v>
      </c>
      <c r="Z41" s="11">
        <v>9341246488</v>
      </c>
      <c r="AA41" s="12" t="s">
        <v>62</v>
      </c>
      <c r="AB41" s="11" t="s">
        <v>63</v>
      </c>
      <c r="AC41" s="12" t="s">
        <v>64</v>
      </c>
      <c r="AD41" s="11" t="s">
        <v>43</v>
      </c>
      <c r="AE41" s="12" t="s">
        <v>44</v>
      </c>
      <c r="AF41" s="14">
        <f t="shared" si="0"/>
        <v>0.2999</v>
      </c>
      <c r="AG41" s="11" t="s">
        <v>118</v>
      </c>
    </row>
    <row r="42" spans="1:33" x14ac:dyDescent="0.2">
      <c r="A42" s="8">
        <v>9419</v>
      </c>
      <c r="B42" s="9" t="s">
        <v>169</v>
      </c>
      <c r="C42" s="10">
        <v>43525</v>
      </c>
      <c r="D42" s="11">
        <v>61</v>
      </c>
      <c r="E42" s="12" t="s">
        <v>34</v>
      </c>
      <c r="F42" s="12" t="s">
        <v>35</v>
      </c>
      <c r="G42" s="12" t="s">
        <v>35</v>
      </c>
      <c r="H42" s="12" t="s">
        <v>36</v>
      </c>
      <c r="I42" s="11" t="s">
        <v>172</v>
      </c>
      <c r="J42" s="12" t="s">
        <v>173</v>
      </c>
      <c r="K42" s="13" t="s">
        <v>61</v>
      </c>
      <c r="L42" s="11" t="str">
        <f>"000044"</f>
        <v>000044</v>
      </c>
      <c r="M42" s="10">
        <v>43305</v>
      </c>
      <c r="N42" s="11" t="str">
        <f>"000050"</f>
        <v>000050</v>
      </c>
      <c r="O42" s="10">
        <v>43370</v>
      </c>
      <c r="P42" s="11" t="str">
        <f>"000154"</f>
        <v>000154</v>
      </c>
      <c r="Q42" s="10">
        <v>43371</v>
      </c>
      <c r="R42" s="11"/>
      <c r="S42" s="11" t="str">
        <f>"009234"</f>
        <v>009234</v>
      </c>
      <c r="T42" s="10">
        <v>43509</v>
      </c>
      <c r="U42" s="14">
        <v>39.979999999999997</v>
      </c>
      <c r="V42" s="14">
        <v>4.5564</v>
      </c>
      <c r="W42" s="14">
        <v>35.4236</v>
      </c>
      <c r="X42" s="11">
        <v>363</v>
      </c>
      <c r="Y42" s="10">
        <v>43525</v>
      </c>
      <c r="Z42" s="11">
        <v>9341246488</v>
      </c>
      <c r="AA42" s="12" t="s">
        <v>62</v>
      </c>
      <c r="AB42" s="11" t="s">
        <v>63</v>
      </c>
      <c r="AC42" s="12" t="s">
        <v>64</v>
      </c>
      <c r="AD42" s="11" t="s">
        <v>43</v>
      </c>
      <c r="AE42" s="12" t="s">
        <v>44</v>
      </c>
      <c r="AF42" s="14">
        <f t="shared" si="0"/>
        <v>0.39979999999999999</v>
      </c>
      <c r="AG42" s="11" t="s">
        <v>118</v>
      </c>
    </row>
    <row r="43" spans="1:33" x14ac:dyDescent="0.2">
      <c r="A43" s="8">
        <v>9420</v>
      </c>
      <c r="B43" s="9" t="s">
        <v>169</v>
      </c>
      <c r="C43" s="10">
        <v>43525</v>
      </c>
      <c r="D43" s="11">
        <v>61</v>
      </c>
      <c r="E43" s="12" t="s">
        <v>34</v>
      </c>
      <c r="F43" s="12" t="s">
        <v>35</v>
      </c>
      <c r="G43" s="12" t="s">
        <v>35</v>
      </c>
      <c r="H43" s="12" t="s">
        <v>36</v>
      </c>
      <c r="I43" s="11" t="s">
        <v>174</v>
      </c>
      <c r="J43" s="12" t="s">
        <v>175</v>
      </c>
      <c r="K43" s="13" t="s">
        <v>55</v>
      </c>
      <c r="L43" s="11" t="str">
        <f>"000036"</f>
        <v>000036</v>
      </c>
      <c r="M43" s="10">
        <v>43291</v>
      </c>
      <c r="N43" s="11" t="str">
        <f>"000051"</f>
        <v>000051</v>
      </c>
      <c r="O43" s="10">
        <v>43370</v>
      </c>
      <c r="P43" s="11" t="str">
        <f>"000156"</f>
        <v>000156</v>
      </c>
      <c r="Q43" s="10">
        <v>43371</v>
      </c>
      <c r="R43" s="11"/>
      <c r="S43" s="11" t="str">
        <f>"009235"</f>
        <v>009235</v>
      </c>
      <c r="T43" s="10">
        <v>43509</v>
      </c>
      <c r="U43" s="14">
        <v>19.989999999999998</v>
      </c>
      <c r="V43" s="14">
        <v>2.3612500000000001</v>
      </c>
      <c r="W43" s="14">
        <v>17.62875</v>
      </c>
      <c r="X43" s="11">
        <v>363</v>
      </c>
      <c r="Y43" s="10">
        <v>43525</v>
      </c>
      <c r="Z43" s="11">
        <v>9620306428</v>
      </c>
      <c r="AA43" s="12" t="s">
        <v>62</v>
      </c>
      <c r="AB43" s="11" t="s">
        <v>63</v>
      </c>
      <c r="AC43" s="12" t="s">
        <v>64</v>
      </c>
      <c r="AD43" s="11" t="s">
        <v>43</v>
      </c>
      <c r="AE43" s="12" t="s">
        <v>44</v>
      </c>
      <c r="AF43" s="14">
        <f t="shared" si="0"/>
        <v>0.19989999999999999</v>
      </c>
      <c r="AG43" s="11" t="s">
        <v>118</v>
      </c>
    </row>
    <row r="44" spans="1:33" x14ac:dyDescent="0.2">
      <c r="A44" s="8">
        <v>9423</v>
      </c>
      <c r="B44" s="9" t="s">
        <v>169</v>
      </c>
      <c r="C44" s="10">
        <v>43525</v>
      </c>
      <c r="D44" s="11">
        <v>61</v>
      </c>
      <c r="E44" s="12" t="s">
        <v>34</v>
      </c>
      <c r="F44" s="12" t="s">
        <v>35</v>
      </c>
      <c r="G44" s="12" t="s">
        <v>35</v>
      </c>
      <c r="H44" s="12" t="s">
        <v>36</v>
      </c>
      <c r="I44" s="11" t="s">
        <v>176</v>
      </c>
      <c r="J44" s="12" t="s">
        <v>177</v>
      </c>
      <c r="K44" s="13" t="s">
        <v>39</v>
      </c>
      <c r="L44" s="11" t="str">
        <f>"000024"</f>
        <v>000024</v>
      </c>
      <c r="M44" s="10">
        <v>42843</v>
      </c>
      <c r="N44" s="11" t="str">
        <f>"000037"</f>
        <v>000037</v>
      </c>
      <c r="O44" s="10">
        <v>43349</v>
      </c>
      <c r="P44" s="11" t="str">
        <f>"000136"</f>
        <v>000136</v>
      </c>
      <c r="Q44" s="10">
        <v>43350</v>
      </c>
      <c r="R44" s="11"/>
      <c r="S44" s="11" t="str">
        <f>"009238"</f>
        <v>009238</v>
      </c>
      <c r="T44" s="10">
        <v>43509</v>
      </c>
      <c r="U44" s="14">
        <v>19.963999999999999</v>
      </c>
      <c r="V44" s="14">
        <v>1.81355</v>
      </c>
      <c r="W44" s="14">
        <v>18.150449999999999</v>
      </c>
      <c r="X44" s="11">
        <v>363</v>
      </c>
      <c r="Y44" s="10">
        <v>43525</v>
      </c>
      <c r="Z44" s="11">
        <v>7892860419</v>
      </c>
      <c r="AA44" s="12" t="s">
        <v>62</v>
      </c>
      <c r="AB44" s="11" t="s">
        <v>116</v>
      </c>
      <c r="AC44" s="12" t="s">
        <v>117</v>
      </c>
      <c r="AD44" s="11" t="s">
        <v>43</v>
      </c>
      <c r="AE44" s="12" t="s">
        <v>44</v>
      </c>
      <c r="AF44" s="14">
        <f t="shared" si="0"/>
        <v>0.19963999999999998</v>
      </c>
      <c r="AG44" s="11" t="s">
        <v>65</v>
      </c>
    </row>
    <row r="45" spans="1:33" x14ac:dyDescent="0.2">
      <c r="A45" s="8">
        <v>9513</v>
      </c>
      <c r="B45" s="9" t="s">
        <v>169</v>
      </c>
      <c r="C45" s="10">
        <v>43531</v>
      </c>
      <c r="D45" s="11">
        <v>61</v>
      </c>
      <c r="E45" s="12" t="s">
        <v>34</v>
      </c>
      <c r="F45" s="12" t="s">
        <v>35</v>
      </c>
      <c r="G45" s="12" t="s">
        <v>35</v>
      </c>
      <c r="H45" s="12" t="s">
        <v>36</v>
      </c>
      <c r="I45" s="11" t="s">
        <v>178</v>
      </c>
      <c r="J45" s="12" t="s">
        <v>179</v>
      </c>
      <c r="K45" s="15" t="s">
        <v>109</v>
      </c>
      <c r="L45" s="11" t="str">
        <f>"000132"</f>
        <v>000132</v>
      </c>
      <c r="M45" s="10">
        <v>43378</v>
      </c>
      <c r="N45" s="11" t="str">
        <f>"000137"</f>
        <v>000137</v>
      </c>
      <c r="O45" s="10">
        <v>43496</v>
      </c>
      <c r="P45" s="11" t="str">
        <f>"000315"</f>
        <v>000315</v>
      </c>
      <c r="Q45" s="10">
        <v>43496</v>
      </c>
      <c r="R45" s="11"/>
      <c r="S45" s="11" t="str">
        <f>"009625"</f>
        <v>009625</v>
      </c>
      <c r="T45" s="10">
        <v>43529</v>
      </c>
      <c r="U45" s="14">
        <v>4.9770000000000003</v>
      </c>
      <c r="V45" s="14">
        <v>0.49887999999999999</v>
      </c>
      <c r="W45" s="14">
        <v>4.4781199999999997</v>
      </c>
      <c r="X45" s="11">
        <v>369</v>
      </c>
      <c r="Y45" s="10">
        <v>43531</v>
      </c>
      <c r="Z45" s="11">
        <v>9448119972</v>
      </c>
      <c r="AA45" s="12" t="s">
        <v>180</v>
      </c>
      <c r="AB45" s="11" t="s">
        <v>181</v>
      </c>
      <c r="AC45" s="12" t="s">
        <v>182</v>
      </c>
      <c r="AD45" s="11" t="s">
        <v>43</v>
      </c>
      <c r="AE45" s="12" t="s">
        <v>44</v>
      </c>
      <c r="AF45" s="14">
        <f t="shared" si="0"/>
        <v>4.9770000000000002E-2</v>
      </c>
      <c r="AG45" s="11" t="s">
        <v>118</v>
      </c>
    </row>
    <row r="46" spans="1:33" x14ac:dyDescent="0.2">
      <c r="A46" s="8">
        <v>9514</v>
      </c>
      <c r="B46" s="9" t="s">
        <v>169</v>
      </c>
      <c r="C46" s="10">
        <v>43531</v>
      </c>
      <c r="D46" s="11">
        <v>61</v>
      </c>
      <c r="E46" s="12" t="s">
        <v>34</v>
      </c>
      <c r="F46" s="12" t="s">
        <v>35</v>
      </c>
      <c r="G46" s="12" t="s">
        <v>35</v>
      </c>
      <c r="H46" s="12" t="s">
        <v>36</v>
      </c>
      <c r="I46" s="11" t="s">
        <v>183</v>
      </c>
      <c r="J46" s="12" t="s">
        <v>184</v>
      </c>
      <c r="K46" s="13" t="s">
        <v>185</v>
      </c>
      <c r="L46" s="11" t="str">
        <f>"000134"</f>
        <v>000134</v>
      </c>
      <c r="M46" s="10">
        <v>43378</v>
      </c>
      <c r="N46" s="11" t="str">
        <f>"000140"</f>
        <v>000140</v>
      </c>
      <c r="O46" s="10">
        <v>43496</v>
      </c>
      <c r="P46" s="11" t="str">
        <f>"000318"</f>
        <v>000318</v>
      </c>
      <c r="Q46" s="10">
        <v>43496</v>
      </c>
      <c r="R46" s="11"/>
      <c r="S46" s="11" t="str">
        <f>"009626"</f>
        <v>009626</v>
      </c>
      <c r="T46" s="10">
        <v>43529</v>
      </c>
      <c r="U46" s="14">
        <v>4.9950000000000001</v>
      </c>
      <c r="V46" s="14">
        <v>0.52593000000000001</v>
      </c>
      <c r="W46" s="14">
        <v>4.4690700000000003</v>
      </c>
      <c r="X46" s="11">
        <v>369</v>
      </c>
      <c r="Y46" s="10">
        <v>43531</v>
      </c>
      <c r="Z46" s="11">
        <v>9448119972</v>
      </c>
      <c r="AA46" s="12" t="s">
        <v>180</v>
      </c>
      <c r="AB46" s="11" t="s">
        <v>186</v>
      </c>
      <c r="AC46" s="12" t="s">
        <v>187</v>
      </c>
      <c r="AD46" s="11" t="s">
        <v>43</v>
      </c>
      <c r="AE46" s="12" t="s">
        <v>44</v>
      </c>
      <c r="AF46" s="14">
        <f t="shared" si="0"/>
        <v>4.9950000000000001E-2</v>
      </c>
      <c r="AG46" s="11" t="s">
        <v>118</v>
      </c>
    </row>
    <row r="47" spans="1:33" x14ac:dyDescent="0.2">
      <c r="A47" s="8">
        <v>9515</v>
      </c>
      <c r="B47" s="9" t="s">
        <v>169</v>
      </c>
      <c r="C47" s="10">
        <v>43531</v>
      </c>
      <c r="D47" s="11">
        <v>61</v>
      </c>
      <c r="E47" s="12" t="s">
        <v>34</v>
      </c>
      <c r="F47" s="12" t="s">
        <v>35</v>
      </c>
      <c r="G47" s="12" t="s">
        <v>35</v>
      </c>
      <c r="H47" s="12" t="s">
        <v>36</v>
      </c>
      <c r="I47" s="11" t="s">
        <v>188</v>
      </c>
      <c r="J47" s="12" t="s">
        <v>189</v>
      </c>
      <c r="K47" s="13" t="s">
        <v>39</v>
      </c>
      <c r="L47" s="11" t="str">
        <f>"000133"</f>
        <v>000133</v>
      </c>
      <c r="M47" s="10">
        <v>43378</v>
      </c>
      <c r="N47" s="11" t="str">
        <f>"000142"</f>
        <v>000142</v>
      </c>
      <c r="O47" s="10">
        <v>43496</v>
      </c>
      <c r="P47" s="11" t="str">
        <f>"000316"</f>
        <v>000316</v>
      </c>
      <c r="Q47" s="10">
        <v>43496</v>
      </c>
      <c r="R47" s="11"/>
      <c r="S47" s="11" t="str">
        <f>"009627"</f>
        <v>009627</v>
      </c>
      <c r="T47" s="10">
        <v>43529</v>
      </c>
      <c r="U47" s="14">
        <v>4.984</v>
      </c>
      <c r="V47" s="14">
        <v>0.49931999999999999</v>
      </c>
      <c r="W47" s="14">
        <v>4.48468</v>
      </c>
      <c r="X47" s="11">
        <v>369</v>
      </c>
      <c r="Y47" s="10">
        <v>43531</v>
      </c>
      <c r="Z47" s="11">
        <v>9448119972</v>
      </c>
      <c r="AA47" s="12" t="s">
        <v>180</v>
      </c>
      <c r="AB47" s="11" t="s">
        <v>190</v>
      </c>
      <c r="AC47" s="12" t="s">
        <v>191</v>
      </c>
      <c r="AD47" s="11" t="s">
        <v>43</v>
      </c>
      <c r="AE47" s="12" t="s">
        <v>44</v>
      </c>
      <c r="AF47" s="14">
        <f t="shared" si="0"/>
        <v>4.9840000000000002E-2</v>
      </c>
      <c r="AG47" s="11" t="s">
        <v>118</v>
      </c>
    </row>
    <row r="48" spans="1:33" x14ac:dyDescent="0.2">
      <c r="A48" s="8">
        <v>9516</v>
      </c>
      <c r="B48" s="9" t="s">
        <v>169</v>
      </c>
      <c r="C48" s="10">
        <v>43531</v>
      </c>
      <c r="D48" s="11">
        <v>61</v>
      </c>
      <c r="E48" s="12" t="s">
        <v>34</v>
      </c>
      <c r="F48" s="12" t="s">
        <v>35</v>
      </c>
      <c r="G48" s="12" t="s">
        <v>35</v>
      </c>
      <c r="H48" s="12" t="s">
        <v>36</v>
      </c>
      <c r="I48" s="11" t="s">
        <v>192</v>
      </c>
      <c r="J48" s="12" t="s">
        <v>193</v>
      </c>
      <c r="K48" s="13" t="s">
        <v>129</v>
      </c>
      <c r="L48" s="11" t="str">
        <f>"000135"</f>
        <v>000135</v>
      </c>
      <c r="M48" s="10">
        <v>43378</v>
      </c>
      <c r="N48" s="11" t="str">
        <f>"000141"</f>
        <v>000141</v>
      </c>
      <c r="O48" s="10">
        <v>43496</v>
      </c>
      <c r="P48" s="11" t="str">
        <f>"000317"</f>
        <v>000317</v>
      </c>
      <c r="Q48" s="10">
        <v>43496</v>
      </c>
      <c r="R48" s="11"/>
      <c r="S48" s="11" t="str">
        <f>"009628"</f>
        <v>009628</v>
      </c>
      <c r="T48" s="10">
        <v>43529</v>
      </c>
      <c r="U48" s="14">
        <v>9.9903200000000005</v>
      </c>
      <c r="V48" s="14">
        <v>1.0921400000000001</v>
      </c>
      <c r="W48" s="14">
        <v>8.89818</v>
      </c>
      <c r="X48" s="11">
        <v>369</v>
      </c>
      <c r="Y48" s="10">
        <v>43531</v>
      </c>
      <c r="Z48" s="11">
        <v>9448119972</v>
      </c>
      <c r="AA48" s="12" t="s">
        <v>180</v>
      </c>
      <c r="AB48" s="11" t="s">
        <v>194</v>
      </c>
      <c r="AC48" s="12" t="s">
        <v>195</v>
      </c>
      <c r="AD48" s="11" t="s">
        <v>43</v>
      </c>
      <c r="AE48" s="12" t="s">
        <v>44</v>
      </c>
      <c r="AF48" s="14">
        <f t="shared" si="0"/>
        <v>9.9903200000000011E-2</v>
      </c>
      <c r="AG48" s="11" t="s">
        <v>118</v>
      </c>
    </row>
    <row r="49" spans="1:33" x14ac:dyDescent="0.2">
      <c r="A49" s="8">
        <v>9518</v>
      </c>
      <c r="B49" s="9" t="s">
        <v>169</v>
      </c>
      <c r="C49" s="10">
        <v>43531</v>
      </c>
      <c r="D49" s="11">
        <v>61</v>
      </c>
      <c r="E49" s="12" t="s">
        <v>34</v>
      </c>
      <c r="F49" s="12" t="s">
        <v>35</v>
      </c>
      <c r="G49" s="12" t="s">
        <v>35</v>
      </c>
      <c r="H49" s="12" t="s">
        <v>36</v>
      </c>
      <c r="I49" s="11" t="s">
        <v>196</v>
      </c>
      <c r="J49" s="12" t="s">
        <v>197</v>
      </c>
      <c r="K49" s="13" t="s">
        <v>55</v>
      </c>
      <c r="L49" s="11" t="str">
        <f>"000137"</f>
        <v>000137</v>
      </c>
      <c r="M49" s="10">
        <v>43378</v>
      </c>
      <c r="N49" s="11" t="str">
        <f>"000139"</f>
        <v>000139</v>
      </c>
      <c r="O49" s="10">
        <v>43496</v>
      </c>
      <c r="P49" s="11" t="str">
        <f>"000313"</f>
        <v>000313</v>
      </c>
      <c r="Q49" s="10">
        <v>43496</v>
      </c>
      <c r="R49" s="11"/>
      <c r="S49" s="11" t="str">
        <f>"009630"</f>
        <v>009630</v>
      </c>
      <c r="T49" s="10">
        <v>43529</v>
      </c>
      <c r="U49" s="14">
        <v>14.994</v>
      </c>
      <c r="V49" s="14">
        <v>1.71976</v>
      </c>
      <c r="W49" s="14">
        <v>13.274240000000001</v>
      </c>
      <c r="X49" s="11">
        <v>369</v>
      </c>
      <c r="Y49" s="10">
        <v>43531</v>
      </c>
      <c r="Z49" s="11">
        <v>9448119972</v>
      </c>
      <c r="AA49" s="12" t="s">
        <v>180</v>
      </c>
      <c r="AB49" s="11" t="s">
        <v>198</v>
      </c>
      <c r="AC49" s="12" t="s">
        <v>199</v>
      </c>
      <c r="AD49" s="11" t="s">
        <v>43</v>
      </c>
      <c r="AE49" s="12" t="s">
        <v>44</v>
      </c>
      <c r="AF49" s="14">
        <f t="shared" si="0"/>
        <v>0.14993999999999999</v>
      </c>
      <c r="AG49" s="11" t="s">
        <v>118</v>
      </c>
    </row>
    <row r="50" spans="1:33" x14ac:dyDescent="0.2">
      <c r="A50" s="8">
        <v>9519</v>
      </c>
      <c r="B50" s="9" t="s">
        <v>169</v>
      </c>
      <c r="C50" s="10">
        <v>43531</v>
      </c>
      <c r="D50" s="11">
        <v>61</v>
      </c>
      <c r="E50" s="12" t="s">
        <v>34</v>
      </c>
      <c r="F50" s="12" t="s">
        <v>35</v>
      </c>
      <c r="G50" s="12" t="s">
        <v>35</v>
      </c>
      <c r="H50" s="12" t="s">
        <v>36</v>
      </c>
      <c r="I50" s="11" t="s">
        <v>200</v>
      </c>
      <c r="J50" s="12" t="s">
        <v>201</v>
      </c>
      <c r="K50" s="13" t="s">
        <v>115</v>
      </c>
      <c r="L50" s="11" t="str">
        <f>"000136"</f>
        <v>000136</v>
      </c>
      <c r="M50" s="10">
        <v>43378</v>
      </c>
      <c r="N50" s="11" t="str">
        <f>"000138"</f>
        <v>000138</v>
      </c>
      <c r="O50" s="10">
        <v>43496</v>
      </c>
      <c r="P50" s="11" t="str">
        <f>"000314"</f>
        <v>000314</v>
      </c>
      <c r="Q50" s="10">
        <v>43496</v>
      </c>
      <c r="R50" s="11"/>
      <c r="S50" s="11" t="str">
        <f>"009631"</f>
        <v>009631</v>
      </c>
      <c r="T50" s="10">
        <v>43529</v>
      </c>
      <c r="U50" s="14">
        <v>19.992000000000001</v>
      </c>
      <c r="V50" s="14">
        <v>2.0057499999999999</v>
      </c>
      <c r="W50" s="14">
        <v>17.986249999999998</v>
      </c>
      <c r="X50" s="11">
        <v>369</v>
      </c>
      <c r="Y50" s="10">
        <v>43531</v>
      </c>
      <c r="Z50" s="11">
        <v>9448119972</v>
      </c>
      <c r="AA50" s="12" t="s">
        <v>180</v>
      </c>
      <c r="AB50" s="11" t="s">
        <v>202</v>
      </c>
      <c r="AC50" s="12" t="s">
        <v>203</v>
      </c>
      <c r="AD50" s="11" t="s">
        <v>43</v>
      </c>
      <c r="AE50" s="12" t="s">
        <v>44</v>
      </c>
      <c r="AF50" s="14">
        <f t="shared" si="0"/>
        <v>0.19992000000000001</v>
      </c>
      <c r="AG50" s="11" t="s">
        <v>118</v>
      </c>
    </row>
    <row r="51" spans="1:33" x14ac:dyDescent="0.2">
      <c r="A51" s="8">
        <v>9667</v>
      </c>
      <c r="B51" s="9" t="s">
        <v>169</v>
      </c>
      <c r="C51" s="10">
        <v>43539</v>
      </c>
      <c r="D51" s="11">
        <v>61</v>
      </c>
      <c r="E51" s="12" t="s">
        <v>34</v>
      </c>
      <c r="F51" s="12" t="s">
        <v>35</v>
      </c>
      <c r="G51" s="12" t="s">
        <v>35</v>
      </c>
      <c r="H51" s="12" t="s">
        <v>36</v>
      </c>
      <c r="I51" s="11" t="s">
        <v>204</v>
      </c>
      <c r="J51" s="12" t="s">
        <v>205</v>
      </c>
      <c r="K51" s="13" t="s">
        <v>55</v>
      </c>
      <c r="L51" s="11" t="str">
        <f>"000239"</f>
        <v>000239</v>
      </c>
      <c r="M51" s="10">
        <v>42809</v>
      </c>
      <c r="N51" s="11" t="str">
        <f>"000050"</f>
        <v>000050</v>
      </c>
      <c r="O51" s="10">
        <v>42916</v>
      </c>
      <c r="P51" s="11" t="str">
        <f>"000143"</f>
        <v>000143</v>
      </c>
      <c r="Q51" s="10">
        <v>42916</v>
      </c>
      <c r="R51" s="11"/>
      <c r="S51" s="11" t="str">
        <f>"009720"</f>
        <v>009720</v>
      </c>
      <c r="T51" s="10">
        <v>43538</v>
      </c>
      <c r="U51" s="14">
        <v>9.2353500000000004</v>
      </c>
      <c r="V51" s="14">
        <v>0.64754999999999996</v>
      </c>
      <c r="W51" s="14">
        <v>8.5877999999999997</v>
      </c>
      <c r="X51" s="11">
        <v>376</v>
      </c>
      <c r="Y51" s="10">
        <v>43539</v>
      </c>
      <c r="Z51" s="11">
        <v>9845843173</v>
      </c>
      <c r="AA51" s="12" t="s">
        <v>206</v>
      </c>
      <c r="AB51" s="11" t="s">
        <v>41</v>
      </c>
      <c r="AC51" s="12" t="s">
        <v>42</v>
      </c>
      <c r="AD51" s="11" t="s">
        <v>43</v>
      </c>
      <c r="AE51" s="12" t="s">
        <v>44</v>
      </c>
      <c r="AF51" s="14">
        <f t="shared" si="0"/>
        <v>9.2353500000000005E-2</v>
      </c>
      <c r="AG51" s="11" t="s">
        <v>45</v>
      </c>
    </row>
    <row r="52" spans="1:33" x14ac:dyDescent="0.2">
      <c r="A52" s="8">
        <v>9668</v>
      </c>
      <c r="B52" s="9" t="s">
        <v>169</v>
      </c>
      <c r="C52" s="10">
        <v>43539</v>
      </c>
      <c r="D52" s="11">
        <v>61</v>
      </c>
      <c r="E52" s="12" t="s">
        <v>34</v>
      </c>
      <c r="F52" s="12" t="s">
        <v>35</v>
      </c>
      <c r="G52" s="12" t="s">
        <v>35</v>
      </c>
      <c r="H52" s="12" t="s">
        <v>36</v>
      </c>
      <c r="I52" s="11" t="s">
        <v>207</v>
      </c>
      <c r="J52" s="12" t="s">
        <v>208</v>
      </c>
      <c r="K52" s="13" t="s">
        <v>39</v>
      </c>
      <c r="L52" s="11" t="str">
        <f>"000241"</f>
        <v>000241</v>
      </c>
      <c r="M52" s="10">
        <v>42809</v>
      </c>
      <c r="N52" s="11" t="str">
        <f>"000051"</f>
        <v>000051</v>
      </c>
      <c r="O52" s="10">
        <v>42916</v>
      </c>
      <c r="P52" s="11" t="str">
        <f>"000144"</f>
        <v>000144</v>
      </c>
      <c r="Q52" s="10">
        <v>42916</v>
      </c>
      <c r="R52" s="11"/>
      <c r="S52" s="11" t="str">
        <f>"009721"</f>
        <v>009721</v>
      </c>
      <c r="T52" s="10">
        <v>43538</v>
      </c>
      <c r="U52" s="14">
        <v>9.6917899999999992</v>
      </c>
      <c r="V52" s="14">
        <v>0.74429999999999996</v>
      </c>
      <c r="W52" s="14">
        <v>8.9474900000000002</v>
      </c>
      <c r="X52" s="11">
        <v>376</v>
      </c>
      <c r="Y52" s="10">
        <v>43539</v>
      </c>
      <c r="Z52" s="11">
        <v>9845843173</v>
      </c>
      <c r="AA52" s="12" t="s">
        <v>206</v>
      </c>
      <c r="AB52" s="11" t="s">
        <v>41</v>
      </c>
      <c r="AC52" s="12" t="s">
        <v>42</v>
      </c>
      <c r="AD52" s="11" t="s">
        <v>43</v>
      </c>
      <c r="AE52" s="12" t="s">
        <v>44</v>
      </c>
      <c r="AF52" s="14">
        <f t="shared" si="0"/>
        <v>9.6917899999999987E-2</v>
      </c>
      <c r="AG52" s="11" t="s">
        <v>45</v>
      </c>
    </row>
    <row r="53" spans="1:33" x14ac:dyDescent="0.2">
      <c r="A53" s="8">
        <v>9692</v>
      </c>
      <c r="B53" s="9" t="s">
        <v>169</v>
      </c>
      <c r="C53" s="10">
        <v>43539</v>
      </c>
      <c r="D53" s="11">
        <v>61</v>
      </c>
      <c r="E53" s="12" t="s">
        <v>34</v>
      </c>
      <c r="F53" s="12" t="s">
        <v>35</v>
      </c>
      <c r="G53" s="12" t="s">
        <v>35</v>
      </c>
      <c r="H53" s="12" t="s">
        <v>36</v>
      </c>
      <c r="I53" s="11" t="s">
        <v>209</v>
      </c>
      <c r="J53" s="12" t="s">
        <v>210</v>
      </c>
      <c r="K53" s="13" t="s">
        <v>61</v>
      </c>
      <c r="L53" s="11" t="str">
        <f>"000236"</f>
        <v>000236</v>
      </c>
      <c r="M53" s="10">
        <v>42809</v>
      </c>
      <c r="N53" s="11" t="str">
        <f>"000049"</f>
        <v>000049</v>
      </c>
      <c r="O53" s="10">
        <v>42916</v>
      </c>
      <c r="P53" s="11" t="str">
        <f>"000145"</f>
        <v>000145</v>
      </c>
      <c r="Q53" s="10">
        <v>42916</v>
      </c>
      <c r="R53" s="11"/>
      <c r="S53" s="11" t="str">
        <f>"009753"</f>
        <v>009753</v>
      </c>
      <c r="T53" s="10">
        <v>43538</v>
      </c>
      <c r="U53" s="14">
        <v>9.5454799999999995</v>
      </c>
      <c r="V53" s="14">
        <v>0.77470000000000006</v>
      </c>
      <c r="W53" s="14">
        <v>8.7707800000000002</v>
      </c>
      <c r="X53" s="11">
        <v>376</v>
      </c>
      <c r="Y53" s="10">
        <v>43539</v>
      </c>
      <c r="Z53" s="11">
        <v>9845843173</v>
      </c>
      <c r="AA53" s="12" t="s">
        <v>206</v>
      </c>
      <c r="AB53" s="11" t="s">
        <v>41</v>
      </c>
      <c r="AC53" s="12" t="s">
        <v>42</v>
      </c>
      <c r="AD53" s="11" t="s">
        <v>43</v>
      </c>
      <c r="AE53" s="12" t="s">
        <v>44</v>
      </c>
      <c r="AF53" s="14">
        <f t="shared" si="0"/>
        <v>9.5454799999999992E-2</v>
      </c>
      <c r="AG53" s="11" t="s">
        <v>45</v>
      </c>
    </row>
    <row r="54" spans="1:33" x14ac:dyDescent="0.2">
      <c r="A54" s="8">
        <v>9708</v>
      </c>
      <c r="B54" s="9" t="s">
        <v>169</v>
      </c>
      <c r="C54" s="10">
        <v>43539</v>
      </c>
      <c r="D54" s="11">
        <v>61</v>
      </c>
      <c r="E54" s="12" t="s">
        <v>34</v>
      </c>
      <c r="F54" s="12" t="s">
        <v>35</v>
      </c>
      <c r="G54" s="12" t="s">
        <v>35</v>
      </c>
      <c r="H54" s="12" t="s">
        <v>36</v>
      </c>
      <c r="I54" s="11" t="s">
        <v>211</v>
      </c>
      <c r="J54" s="12" t="s">
        <v>212</v>
      </c>
      <c r="K54" s="13" t="s">
        <v>55</v>
      </c>
      <c r="L54" s="11" t="str">
        <f>"00O241"</f>
        <v>00O241</v>
      </c>
      <c r="M54" s="10">
        <v>42809</v>
      </c>
      <c r="N54" s="11" t="str">
        <f>"000048"</f>
        <v>000048</v>
      </c>
      <c r="O54" s="10">
        <v>42916</v>
      </c>
      <c r="P54" s="11" t="str">
        <f>"000146"</f>
        <v>000146</v>
      </c>
      <c r="Q54" s="10">
        <v>42916</v>
      </c>
      <c r="R54" s="11"/>
      <c r="S54" s="11" t="str">
        <f>"009769"</f>
        <v>009769</v>
      </c>
      <c r="T54" s="10">
        <v>43538</v>
      </c>
      <c r="U54" s="14">
        <v>2.62934</v>
      </c>
      <c r="V54" s="14">
        <v>0.17094999999999999</v>
      </c>
      <c r="W54" s="14">
        <v>2.4583900000000001</v>
      </c>
      <c r="X54" s="11">
        <v>376</v>
      </c>
      <c r="Y54" s="10">
        <v>43539</v>
      </c>
      <c r="Z54" s="11">
        <v>9845843173</v>
      </c>
      <c r="AA54" s="12" t="s">
        <v>213</v>
      </c>
      <c r="AB54" s="11" t="s">
        <v>41</v>
      </c>
      <c r="AC54" s="12" t="s">
        <v>42</v>
      </c>
      <c r="AD54" s="11" t="s">
        <v>43</v>
      </c>
      <c r="AE54" s="12" t="s">
        <v>44</v>
      </c>
      <c r="AF54" s="14">
        <f t="shared" si="0"/>
        <v>2.6293400000000001E-2</v>
      </c>
      <c r="AG54" s="11" t="s">
        <v>45</v>
      </c>
    </row>
    <row r="55" spans="1:33" x14ac:dyDescent="0.2">
      <c r="A55" s="8">
        <v>9838</v>
      </c>
      <c r="B55" s="9" t="s">
        <v>169</v>
      </c>
      <c r="C55" s="10">
        <v>43546</v>
      </c>
      <c r="D55" s="11">
        <v>61</v>
      </c>
      <c r="E55" s="12" t="s">
        <v>34</v>
      </c>
      <c r="F55" s="12" t="s">
        <v>35</v>
      </c>
      <c r="G55" s="12" t="s">
        <v>35</v>
      </c>
      <c r="H55" s="12" t="s">
        <v>36</v>
      </c>
      <c r="I55" s="11" t="s">
        <v>214</v>
      </c>
      <c r="J55" s="12" t="s">
        <v>215</v>
      </c>
      <c r="K55" s="13" t="s">
        <v>55</v>
      </c>
      <c r="L55" s="11" t="str">
        <f>"000067"</f>
        <v>000067</v>
      </c>
      <c r="M55" s="10">
        <v>43339</v>
      </c>
      <c r="N55" s="11" t="str">
        <f>"000210"</f>
        <v>000210</v>
      </c>
      <c r="O55" s="10">
        <v>43502</v>
      </c>
      <c r="P55" s="11" t="str">
        <f>"000209"</f>
        <v>000209</v>
      </c>
      <c r="Q55" s="10">
        <v>43502</v>
      </c>
      <c r="R55" s="11"/>
      <c r="S55" s="11" t="str">
        <f>"009851"</f>
        <v>009851</v>
      </c>
      <c r="T55" s="10">
        <v>43544</v>
      </c>
      <c r="U55" s="14">
        <v>9.9846800000000009</v>
      </c>
      <c r="V55" s="14">
        <v>1.2560899999999999</v>
      </c>
      <c r="W55" s="14">
        <v>8.7285900000000005</v>
      </c>
      <c r="X55" s="11">
        <v>382</v>
      </c>
      <c r="Y55" s="10">
        <v>43546</v>
      </c>
      <c r="Z55" s="11">
        <v>9945525730</v>
      </c>
      <c r="AA55" s="12" t="s">
        <v>74</v>
      </c>
      <c r="AB55" s="11" t="s">
        <v>216</v>
      </c>
      <c r="AC55" s="12" t="s">
        <v>217</v>
      </c>
      <c r="AD55" s="11" t="s">
        <v>57</v>
      </c>
      <c r="AE55" s="12" t="s">
        <v>58</v>
      </c>
      <c r="AF55" s="14">
        <f t="shared" si="0"/>
        <v>9.9846800000000013E-2</v>
      </c>
      <c r="AG55" s="11" t="s">
        <v>118</v>
      </c>
    </row>
    <row r="56" spans="1:33" x14ac:dyDescent="0.2">
      <c r="A56" s="8">
        <v>9853</v>
      </c>
      <c r="B56" s="9" t="s">
        <v>169</v>
      </c>
      <c r="C56" s="10">
        <v>43549</v>
      </c>
      <c r="D56" s="11">
        <v>61</v>
      </c>
      <c r="E56" s="12" t="s">
        <v>34</v>
      </c>
      <c r="F56" s="12" t="s">
        <v>35</v>
      </c>
      <c r="G56" s="12" t="s">
        <v>35</v>
      </c>
      <c r="H56" s="12" t="s">
        <v>36</v>
      </c>
      <c r="I56" s="11" t="s">
        <v>218</v>
      </c>
      <c r="J56" s="12" t="s">
        <v>219</v>
      </c>
      <c r="K56" s="13" t="s">
        <v>55</v>
      </c>
      <c r="L56" s="11" t="str">
        <f>"000019"</f>
        <v>000019</v>
      </c>
      <c r="M56" s="10">
        <v>43284</v>
      </c>
      <c r="N56" s="11" t="str">
        <f>"000129"</f>
        <v>000129</v>
      </c>
      <c r="O56" s="10">
        <v>43494</v>
      </c>
      <c r="P56" s="11" t="str">
        <f>"000296"</f>
        <v>000296</v>
      </c>
      <c r="Q56" s="10">
        <v>43495</v>
      </c>
      <c r="R56" s="11"/>
      <c r="S56" s="11" t="str">
        <f>"009883"</f>
        <v>009883</v>
      </c>
      <c r="T56" s="10">
        <v>43544</v>
      </c>
      <c r="U56" s="14">
        <v>47.98</v>
      </c>
      <c r="V56" s="14">
        <v>5.3227900000000004</v>
      </c>
      <c r="W56" s="14">
        <v>42.657209999999999</v>
      </c>
      <c r="X56" s="11">
        <v>383</v>
      </c>
      <c r="Y56" s="10">
        <v>43549</v>
      </c>
      <c r="Z56" s="11">
        <v>9845028772</v>
      </c>
      <c r="AA56" s="12" t="s">
        <v>62</v>
      </c>
      <c r="AB56" s="11" t="s">
        <v>220</v>
      </c>
      <c r="AC56" s="12" t="s">
        <v>221</v>
      </c>
      <c r="AD56" s="11" t="s">
        <v>43</v>
      </c>
      <c r="AE56" s="12" t="s">
        <v>44</v>
      </c>
      <c r="AF56" s="14">
        <f t="shared" si="0"/>
        <v>0.47979999999999995</v>
      </c>
      <c r="AG56" s="11" t="s">
        <v>118</v>
      </c>
    </row>
    <row r="57" spans="1:33" x14ac:dyDescent="0.2">
      <c r="A57" s="8">
        <v>9930</v>
      </c>
      <c r="B57" s="9" t="s">
        <v>169</v>
      </c>
      <c r="C57" s="10">
        <v>43552</v>
      </c>
      <c r="D57" s="11">
        <v>61</v>
      </c>
      <c r="E57" s="12" t="s">
        <v>34</v>
      </c>
      <c r="F57" s="12" t="s">
        <v>35</v>
      </c>
      <c r="G57" s="12" t="s">
        <v>35</v>
      </c>
      <c r="H57" s="12" t="s">
        <v>36</v>
      </c>
      <c r="I57" s="11" t="s">
        <v>222</v>
      </c>
      <c r="J57" s="12" t="s">
        <v>223</v>
      </c>
      <c r="K57" s="13" t="s">
        <v>55</v>
      </c>
      <c r="L57" s="11" t="str">
        <f>"000046"</f>
        <v>000046</v>
      </c>
      <c r="M57" s="10">
        <v>42851</v>
      </c>
      <c r="N57" s="11" t="str">
        <f>"000067"</f>
        <v>000067</v>
      </c>
      <c r="O57" s="10">
        <v>42916</v>
      </c>
      <c r="P57" s="11" t="str">
        <f>"000169"</f>
        <v>000169</v>
      </c>
      <c r="Q57" s="10">
        <v>42916</v>
      </c>
      <c r="R57" s="11"/>
      <c r="S57" s="11" t="str">
        <f>"009936"</f>
        <v>009936</v>
      </c>
      <c r="T57" s="10">
        <v>43549</v>
      </c>
      <c r="U57" s="14">
        <v>18.709720000000001</v>
      </c>
      <c r="V57" s="14">
        <v>1.67025</v>
      </c>
      <c r="W57" s="14">
        <v>17.039470000000001</v>
      </c>
      <c r="X57" s="11">
        <v>388</v>
      </c>
      <c r="Y57" s="10">
        <v>43552</v>
      </c>
      <c r="Z57" s="11">
        <v>9035660123</v>
      </c>
      <c r="AA57" s="12" t="s">
        <v>224</v>
      </c>
      <c r="AB57" s="11" t="s">
        <v>41</v>
      </c>
      <c r="AC57" s="12" t="s">
        <v>42</v>
      </c>
      <c r="AD57" s="11" t="s">
        <v>43</v>
      </c>
      <c r="AE57" s="12" t="s">
        <v>44</v>
      </c>
      <c r="AF57" s="14">
        <f t="shared" si="0"/>
        <v>0.18709720000000002</v>
      </c>
      <c r="AG57" s="11" t="s">
        <v>45</v>
      </c>
    </row>
    <row r="58" spans="1:33" x14ac:dyDescent="0.2">
      <c r="A58" s="8">
        <v>10101</v>
      </c>
      <c r="B58" s="9" t="s">
        <v>169</v>
      </c>
      <c r="C58" s="10">
        <v>43552</v>
      </c>
      <c r="D58" s="11">
        <v>61</v>
      </c>
      <c r="E58" s="12" t="s">
        <v>34</v>
      </c>
      <c r="F58" s="12" t="s">
        <v>35</v>
      </c>
      <c r="G58" s="12" t="s">
        <v>35</v>
      </c>
      <c r="H58" s="12" t="s">
        <v>36</v>
      </c>
      <c r="I58" s="11" t="s">
        <v>225</v>
      </c>
      <c r="J58" s="12" t="s">
        <v>226</v>
      </c>
      <c r="K58" s="13" t="s">
        <v>129</v>
      </c>
      <c r="L58" s="11" t="str">
        <f>"000026"</f>
        <v>000026</v>
      </c>
      <c r="M58" s="10">
        <v>42986</v>
      </c>
      <c r="N58" s="11" t="str">
        <f>"000017"</f>
        <v>000017</v>
      </c>
      <c r="O58" s="10">
        <v>43273</v>
      </c>
      <c r="P58" s="11" t="str">
        <f>"000058"</f>
        <v>000058</v>
      </c>
      <c r="Q58" s="10">
        <v>43274</v>
      </c>
      <c r="R58" s="11"/>
      <c r="S58" s="11" t="str">
        <f>"010136"</f>
        <v>010136</v>
      </c>
      <c r="T58" s="10">
        <v>43552</v>
      </c>
      <c r="U58" s="14">
        <v>14.901</v>
      </c>
      <c r="V58" s="14">
        <v>1.4416</v>
      </c>
      <c r="W58" s="14">
        <v>13.4594</v>
      </c>
      <c r="X58" s="11">
        <v>391</v>
      </c>
      <c r="Y58" s="10">
        <v>43552</v>
      </c>
      <c r="Z58" s="11">
        <v>9448119972</v>
      </c>
      <c r="AA58" s="12" t="s">
        <v>62</v>
      </c>
      <c r="AB58" s="11" t="s">
        <v>227</v>
      </c>
      <c r="AC58" s="12" t="s">
        <v>228</v>
      </c>
      <c r="AD58" s="11" t="s">
        <v>43</v>
      </c>
      <c r="AE58" s="12" t="s">
        <v>44</v>
      </c>
      <c r="AF58" s="14">
        <f t="shared" si="0"/>
        <v>0.14901</v>
      </c>
      <c r="AG58" s="11" t="s">
        <v>65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2019-06-13T07:42:22Z</dcterms:modified>
</cp:coreProperties>
</file>