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anjunath.hl\Downloads\2019-20 Budget Input\Budget Performance Report 2018-19\Data for Openwork Page 2018-19 BPR\Contractor Bill Paid (BR)\"/>
    </mc:Choice>
  </mc:AlternateContent>
  <bookViews>
    <workbookView xWindow="0" yWindow="0" windowWidth="15360" windowHeight="7755"/>
  </bookViews>
  <sheets>
    <sheet name="1st Apr 2018 31st Mar 2019" sheetId="1" r:id="rId1"/>
  </sheets>
  <definedNames>
    <definedName name="_xlnm._FilterDatabase" localSheetId="0" hidden="1">'1st Apr 2018 31st Mar 2019'!$A$1:$AG$1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F122" i="1" l="1"/>
  <c r="S122" i="1"/>
  <c r="P122" i="1"/>
  <c r="N122" i="1"/>
  <c r="L122" i="1"/>
  <c r="AF121" i="1"/>
  <c r="S121" i="1"/>
  <c r="P121" i="1"/>
  <c r="N121" i="1"/>
  <c r="L121" i="1"/>
  <c r="AF120" i="1"/>
  <c r="S120" i="1"/>
  <c r="P120" i="1"/>
  <c r="N120" i="1"/>
  <c r="L120" i="1"/>
  <c r="AF119" i="1"/>
  <c r="S119" i="1"/>
  <c r="P119" i="1"/>
  <c r="N119" i="1"/>
  <c r="L119" i="1"/>
  <c r="AF118" i="1"/>
  <c r="S118" i="1"/>
  <c r="P118" i="1"/>
  <c r="N118" i="1"/>
  <c r="L118" i="1"/>
  <c r="AF117" i="1"/>
  <c r="S117" i="1"/>
  <c r="P117" i="1"/>
  <c r="N117" i="1"/>
  <c r="L117" i="1"/>
  <c r="AF116" i="1"/>
  <c r="S116" i="1"/>
  <c r="P116" i="1"/>
  <c r="N116" i="1"/>
  <c r="L116" i="1"/>
  <c r="AF115" i="1"/>
  <c r="S115" i="1"/>
  <c r="P115" i="1"/>
  <c r="N115" i="1"/>
  <c r="L115" i="1"/>
  <c r="AF114" i="1"/>
  <c r="S114" i="1"/>
  <c r="P114" i="1"/>
  <c r="N114" i="1"/>
  <c r="L114" i="1"/>
  <c r="AF113" i="1"/>
  <c r="S113" i="1"/>
  <c r="P113" i="1"/>
  <c r="N113" i="1"/>
  <c r="L113" i="1"/>
  <c r="AF112" i="1"/>
  <c r="S112" i="1"/>
  <c r="P112" i="1"/>
  <c r="N112" i="1"/>
  <c r="L112" i="1"/>
  <c r="AF111" i="1"/>
  <c r="S111" i="1"/>
  <c r="P111" i="1"/>
  <c r="N111" i="1"/>
  <c r="L111" i="1"/>
  <c r="AF110" i="1"/>
  <c r="S110" i="1"/>
  <c r="P110" i="1"/>
  <c r="N110" i="1"/>
  <c r="L110" i="1"/>
  <c r="AF109" i="1"/>
  <c r="S109" i="1"/>
  <c r="P109" i="1"/>
  <c r="N109" i="1"/>
  <c r="L109" i="1"/>
  <c r="AF108" i="1"/>
  <c r="S108" i="1"/>
  <c r="P108" i="1"/>
  <c r="N108" i="1"/>
  <c r="L108" i="1"/>
  <c r="AF107" i="1"/>
  <c r="S107" i="1"/>
  <c r="P107" i="1"/>
  <c r="N107" i="1"/>
  <c r="L107" i="1"/>
  <c r="AF106" i="1"/>
  <c r="S106" i="1"/>
  <c r="P106" i="1"/>
  <c r="N106" i="1"/>
  <c r="L106" i="1"/>
  <c r="AF105" i="1"/>
  <c r="S105" i="1"/>
  <c r="P105" i="1"/>
  <c r="N105" i="1"/>
  <c r="L105" i="1"/>
  <c r="AF104" i="1"/>
  <c r="S104" i="1"/>
  <c r="P104" i="1"/>
  <c r="N104" i="1"/>
  <c r="L104" i="1"/>
  <c r="AF103" i="1"/>
  <c r="S103" i="1"/>
  <c r="P103" i="1"/>
  <c r="N103" i="1"/>
  <c r="L103" i="1"/>
  <c r="AF102" i="1"/>
  <c r="S102" i="1"/>
  <c r="P102" i="1"/>
  <c r="N102" i="1"/>
  <c r="L102" i="1"/>
  <c r="AF101" i="1"/>
  <c r="S101" i="1"/>
  <c r="P101" i="1"/>
  <c r="N101" i="1"/>
  <c r="L101" i="1"/>
  <c r="AF100" i="1"/>
  <c r="S100" i="1"/>
  <c r="P100" i="1"/>
  <c r="N100" i="1"/>
  <c r="L100" i="1"/>
  <c r="AF99" i="1"/>
  <c r="S99" i="1"/>
  <c r="P99" i="1"/>
  <c r="N99" i="1"/>
  <c r="L99" i="1"/>
  <c r="AF98" i="1"/>
  <c r="S98" i="1"/>
  <c r="P98" i="1"/>
  <c r="N98" i="1"/>
  <c r="L98" i="1"/>
  <c r="AF97" i="1"/>
  <c r="S97" i="1"/>
  <c r="P97" i="1"/>
  <c r="N97" i="1"/>
  <c r="L97" i="1"/>
  <c r="AF96" i="1"/>
  <c r="S96" i="1"/>
  <c r="P96" i="1"/>
  <c r="N96" i="1"/>
  <c r="L96" i="1"/>
  <c r="AF95" i="1"/>
  <c r="S95" i="1"/>
  <c r="P95" i="1"/>
  <c r="N95" i="1"/>
  <c r="L95" i="1"/>
  <c r="AF94" i="1"/>
  <c r="S94" i="1"/>
  <c r="P94" i="1"/>
  <c r="N94" i="1"/>
  <c r="L94" i="1"/>
  <c r="AF93" i="1"/>
  <c r="S93" i="1"/>
  <c r="P93" i="1"/>
  <c r="N93" i="1"/>
  <c r="L93" i="1"/>
  <c r="AF92" i="1"/>
  <c r="S92" i="1"/>
  <c r="P92" i="1"/>
  <c r="N92" i="1"/>
  <c r="L92" i="1"/>
  <c r="AF91" i="1"/>
  <c r="S91" i="1"/>
  <c r="P91" i="1"/>
  <c r="N91" i="1"/>
  <c r="L91" i="1"/>
  <c r="AF90" i="1"/>
  <c r="S90" i="1"/>
  <c r="P90" i="1"/>
  <c r="N90" i="1"/>
  <c r="L90" i="1"/>
  <c r="AF89" i="1"/>
  <c r="S89" i="1"/>
  <c r="P89" i="1"/>
  <c r="N89" i="1"/>
  <c r="L89" i="1"/>
  <c r="AF88" i="1"/>
  <c r="S88" i="1"/>
  <c r="P88" i="1"/>
  <c r="N88" i="1"/>
  <c r="L88" i="1"/>
  <c r="AF87" i="1"/>
  <c r="S87" i="1"/>
  <c r="P87" i="1"/>
  <c r="N87" i="1"/>
  <c r="L87" i="1"/>
  <c r="AF86" i="1"/>
  <c r="S86" i="1"/>
  <c r="P86" i="1"/>
  <c r="N86" i="1"/>
  <c r="L86" i="1"/>
  <c r="AF85" i="1"/>
  <c r="S85" i="1"/>
  <c r="P85" i="1"/>
  <c r="N85" i="1"/>
  <c r="L85" i="1"/>
  <c r="AF84" i="1"/>
  <c r="S84" i="1"/>
  <c r="P84" i="1"/>
  <c r="N84" i="1"/>
  <c r="L84" i="1"/>
  <c r="AF83" i="1"/>
  <c r="S83" i="1"/>
  <c r="P83" i="1"/>
  <c r="N83" i="1"/>
  <c r="L83" i="1"/>
  <c r="AF82" i="1"/>
  <c r="S82" i="1"/>
  <c r="P82" i="1"/>
  <c r="N82" i="1"/>
  <c r="L82" i="1"/>
  <c r="AF81" i="1"/>
  <c r="S81" i="1"/>
  <c r="P81" i="1"/>
  <c r="N81" i="1"/>
  <c r="L81" i="1"/>
  <c r="AF80" i="1"/>
  <c r="S80" i="1"/>
  <c r="P80" i="1"/>
  <c r="N80" i="1"/>
  <c r="L80" i="1"/>
  <c r="AF79" i="1"/>
  <c r="S79" i="1"/>
  <c r="P79" i="1"/>
  <c r="N79" i="1"/>
  <c r="L79" i="1"/>
  <c r="AF78" i="1"/>
  <c r="S78" i="1"/>
  <c r="P78" i="1"/>
  <c r="N78" i="1"/>
  <c r="L78" i="1"/>
  <c r="AF77" i="1"/>
  <c r="S77" i="1"/>
  <c r="P77" i="1"/>
  <c r="N77" i="1"/>
  <c r="L77" i="1"/>
  <c r="AF76" i="1"/>
  <c r="S76" i="1"/>
  <c r="P76" i="1"/>
  <c r="N76" i="1"/>
  <c r="L76" i="1"/>
  <c r="AF75" i="1"/>
  <c r="S75" i="1"/>
  <c r="P75" i="1"/>
  <c r="N75" i="1"/>
  <c r="L75" i="1"/>
  <c r="AF74" i="1"/>
  <c r="S74" i="1"/>
  <c r="P74" i="1"/>
  <c r="N74" i="1"/>
  <c r="L74" i="1"/>
  <c r="AF73" i="1"/>
  <c r="S73" i="1"/>
  <c r="P73" i="1"/>
  <c r="N73" i="1"/>
  <c r="L73" i="1"/>
  <c r="AF72" i="1"/>
  <c r="S72" i="1"/>
  <c r="P72" i="1"/>
  <c r="N72" i="1"/>
  <c r="L72" i="1"/>
  <c r="AF71" i="1"/>
  <c r="S71" i="1"/>
  <c r="P71" i="1"/>
  <c r="N71" i="1"/>
  <c r="L71" i="1"/>
  <c r="AF70" i="1"/>
  <c r="S70" i="1"/>
  <c r="P70" i="1"/>
  <c r="N70" i="1"/>
  <c r="L70" i="1"/>
  <c r="AF69" i="1"/>
  <c r="S69" i="1"/>
  <c r="P69" i="1"/>
  <c r="N69" i="1"/>
  <c r="L69" i="1"/>
  <c r="S68" i="1"/>
  <c r="P68" i="1"/>
  <c r="N68" i="1"/>
  <c r="L68" i="1"/>
  <c r="S67" i="1"/>
  <c r="P67" i="1"/>
  <c r="N67" i="1"/>
  <c r="L67" i="1"/>
  <c r="S66" i="1"/>
  <c r="P66" i="1"/>
  <c r="N66" i="1"/>
  <c r="L66" i="1"/>
  <c r="S65" i="1"/>
  <c r="P65" i="1"/>
  <c r="N65" i="1"/>
  <c r="L65" i="1"/>
  <c r="S64" i="1"/>
  <c r="P64" i="1"/>
  <c r="N64" i="1"/>
  <c r="L64" i="1"/>
  <c r="S63" i="1"/>
  <c r="P63" i="1"/>
  <c r="N63" i="1"/>
  <c r="L63" i="1"/>
  <c r="S62" i="1"/>
  <c r="P62" i="1"/>
  <c r="N62" i="1"/>
  <c r="L62" i="1"/>
  <c r="S61" i="1"/>
  <c r="P61" i="1"/>
  <c r="N61" i="1"/>
  <c r="L61" i="1"/>
  <c r="S60" i="1"/>
  <c r="P60" i="1"/>
  <c r="N60" i="1"/>
  <c r="L60" i="1"/>
  <c r="S59" i="1"/>
  <c r="P59" i="1"/>
  <c r="N59" i="1"/>
  <c r="L59" i="1"/>
  <c r="S58" i="1"/>
  <c r="P58" i="1"/>
  <c r="N58" i="1"/>
  <c r="L58" i="1"/>
  <c r="S57" i="1"/>
  <c r="P57" i="1"/>
  <c r="N57" i="1"/>
  <c r="L57" i="1"/>
  <c r="S56" i="1"/>
  <c r="P56" i="1"/>
  <c r="N56" i="1"/>
  <c r="L56" i="1"/>
  <c r="S55" i="1"/>
  <c r="P55" i="1"/>
  <c r="N55" i="1"/>
  <c r="L55" i="1"/>
  <c r="S54" i="1"/>
  <c r="P54" i="1"/>
  <c r="N54" i="1"/>
  <c r="L54" i="1"/>
  <c r="S53" i="1"/>
  <c r="P53" i="1"/>
  <c r="N53" i="1"/>
  <c r="L53" i="1"/>
  <c r="S52" i="1"/>
  <c r="P52" i="1"/>
  <c r="N52" i="1"/>
  <c r="L52" i="1"/>
  <c r="S51" i="1"/>
  <c r="P51" i="1"/>
  <c r="N51" i="1"/>
  <c r="L51" i="1"/>
  <c r="S50" i="1"/>
  <c r="P50" i="1"/>
  <c r="N50" i="1"/>
  <c r="L50" i="1"/>
  <c r="S49" i="1"/>
  <c r="P49" i="1"/>
  <c r="N49" i="1"/>
  <c r="L49" i="1"/>
  <c r="S48" i="1"/>
  <c r="P48" i="1"/>
  <c r="N48" i="1"/>
  <c r="L48" i="1"/>
  <c r="S47" i="1"/>
  <c r="P47" i="1"/>
  <c r="N47" i="1"/>
  <c r="L47" i="1"/>
  <c r="S46" i="1"/>
  <c r="P46" i="1"/>
  <c r="N46" i="1"/>
  <c r="L46" i="1"/>
  <c r="S45" i="1"/>
  <c r="P45" i="1"/>
  <c r="N45" i="1"/>
  <c r="L45" i="1"/>
  <c r="S44" i="1"/>
  <c r="P44" i="1"/>
  <c r="N44" i="1"/>
  <c r="L44" i="1"/>
  <c r="S43" i="1"/>
  <c r="P43" i="1"/>
  <c r="N43" i="1"/>
  <c r="L43" i="1"/>
  <c r="S42" i="1"/>
  <c r="P42" i="1"/>
  <c r="N42" i="1"/>
  <c r="L42" i="1"/>
  <c r="S41" i="1"/>
  <c r="P41" i="1"/>
  <c r="N41" i="1"/>
  <c r="L41" i="1"/>
  <c r="S40" i="1"/>
  <c r="P40" i="1"/>
  <c r="N40" i="1"/>
  <c r="L40" i="1"/>
  <c r="S39" i="1"/>
  <c r="P39" i="1"/>
  <c r="N39" i="1"/>
  <c r="L39" i="1"/>
  <c r="S38" i="1"/>
  <c r="P38" i="1"/>
  <c r="N38" i="1"/>
  <c r="L38" i="1"/>
  <c r="S37" i="1"/>
  <c r="P37" i="1"/>
  <c r="N37" i="1"/>
  <c r="L37" i="1"/>
  <c r="S36" i="1"/>
  <c r="P36" i="1"/>
  <c r="N36" i="1"/>
  <c r="L36" i="1"/>
  <c r="S35" i="1"/>
  <c r="P35" i="1"/>
  <c r="N35" i="1"/>
  <c r="L35" i="1"/>
  <c r="S34" i="1"/>
  <c r="P34" i="1"/>
  <c r="N34" i="1"/>
  <c r="L34" i="1"/>
  <c r="S33" i="1"/>
  <c r="P33" i="1"/>
  <c r="N33" i="1"/>
  <c r="L33" i="1"/>
  <c r="S32" i="1"/>
  <c r="P32" i="1"/>
  <c r="N32" i="1"/>
  <c r="L32" i="1"/>
  <c r="S31" i="1"/>
  <c r="P31" i="1"/>
  <c r="N31" i="1"/>
  <c r="L31" i="1"/>
  <c r="S30" i="1"/>
  <c r="P30" i="1"/>
  <c r="N30" i="1"/>
  <c r="L30" i="1"/>
  <c r="S29" i="1"/>
  <c r="P29" i="1"/>
  <c r="N29" i="1"/>
  <c r="L29" i="1"/>
  <c r="S28" i="1"/>
  <c r="P28" i="1"/>
  <c r="N28" i="1"/>
  <c r="L28" i="1"/>
  <c r="S27" i="1"/>
  <c r="P27" i="1"/>
  <c r="N27" i="1"/>
  <c r="L27" i="1"/>
  <c r="S26" i="1"/>
  <c r="P26" i="1"/>
  <c r="N26" i="1"/>
  <c r="L26" i="1"/>
  <c r="S25" i="1"/>
  <c r="P25" i="1"/>
  <c r="N25" i="1"/>
  <c r="L25" i="1"/>
  <c r="S24" i="1"/>
  <c r="P24" i="1"/>
  <c r="N24" i="1"/>
  <c r="L24" i="1"/>
  <c r="S23" i="1"/>
  <c r="P23" i="1"/>
  <c r="N23" i="1"/>
  <c r="L23" i="1"/>
  <c r="S22" i="1"/>
  <c r="P22" i="1"/>
  <c r="N22" i="1"/>
  <c r="L22" i="1"/>
  <c r="S21" i="1"/>
  <c r="P21" i="1"/>
  <c r="N21" i="1"/>
  <c r="L21" i="1"/>
  <c r="S20" i="1"/>
  <c r="P20" i="1"/>
  <c r="N20" i="1"/>
  <c r="L20" i="1"/>
  <c r="S19" i="1"/>
  <c r="P19" i="1"/>
  <c r="N19" i="1"/>
  <c r="L19" i="1"/>
  <c r="S18" i="1"/>
  <c r="P18" i="1"/>
  <c r="N18" i="1"/>
  <c r="L18" i="1"/>
  <c r="S17" i="1"/>
  <c r="P17" i="1"/>
  <c r="N17" i="1"/>
  <c r="L17" i="1"/>
  <c r="S16" i="1"/>
  <c r="P16" i="1"/>
  <c r="N16" i="1"/>
  <c r="L16" i="1"/>
  <c r="S15" i="1"/>
  <c r="P15" i="1"/>
  <c r="N15" i="1"/>
  <c r="L15" i="1"/>
  <c r="S14" i="1"/>
  <c r="P14" i="1"/>
  <c r="N14" i="1"/>
  <c r="L14" i="1"/>
  <c r="S13" i="1"/>
  <c r="P13" i="1"/>
  <c r="N13" i="1"/>
  <c r="L13" i="1"/>
  <c r="S12" i="1"/>
  <c r="P12" i="1"/>
  <c r="N12" i="1"/>
  <c r="L12" i="1"/>
  <c r="S11" i="1"/>
  <c r="P11" i="1"/>
  <c r="N11" i="1"/>
  <c r="L11" i="1"/>
  <c r="S10" i="1"/>
  <c r="P10" i="1"/>
  <c r="N10" i="1"/>
  <c r="L10" i="1"/>
  <c r="S9" i="1"/>
  <c r="P9" i="1"/>
  <c r="N9" i="1"/>
  <c r="L9" i="1"/>
  <c r="S8" i="1"/>
  <c r="P8" i="1"/>
  <c r="N8" i="1"/>
  <c r="L8" i="1"/>
  <c r="S7" i="1"/>
  <c r="P7" i="1"/>
  <c r="N7" i="1"/>
  <c r="L7" i="1"/>
  <c r="S6" i="1"/>
  <c r="P6" i="1"/>
  <c r="N6" i="1"/>
  <c r="L6" i="1"/>
  <c r="S5" i="1"/>
  <c r="P5" i="1"/>
  <c r="N5" i="1"/>
  <c r="L5" i="1"/>
  <c r="S4" i="1"/>
  <c r="P4" i="1"/>
  <c r="N4" i="1"/>
  <c r="L4" i="1"/>
  <c r="S3" i="1"/>
  <c r="P3" i="1"/>
  <c r="N3" i="1"/>
  <c r="L3" i="1"/>
  <c r="S2" i="1"/>
  <c r="P2" i="1"/>
  <c r="N2" i="1"/>
  <c r="L2" i="1"/>
</calcChain>
</file>

<file path=xl/sharedStrings.xml><?xml version="1.0" encoding="utf-8"?>
<sst xmlns="http://schemas.openxmlformats.org/spreadsheetml/2006/main" count="1727" uniqueCount="360">
  <si>
    <t>SL No</t>
  </si>
  <si>
    <t>Month</t>
  </si>
  <si>
    <t>Date</t>
  </si>
  <si>
    <t>Ward_No</t>
  </si>
  <si>
    <t>Ward_Name</t>
  </si>
  <si>
    <t>Sub_Division</t>
  </si>
  <si>
    <t>Division</t>
  </si>
  <si>
    <t>Zone</t>
  </si>
  <si>
    <t>Job_Code</t>
  </si>
  <si>
    <t>Job_Description</t>
  </si>
  <si>
    <t>Category</t>
  </si>
  <si>
    <t>Work_ Order</t>
  </si>
  <si>
    <t>Work_Order_Date</t>
  </si>
  <si>
    <t>Sub Bill Register_No</t>
  </si>
  <si>
    <t>Sub Bill Register_Date</t>
  </si>
  <si>
    <t>Bill Register No</t>
  </si>
  <si>
    <t>Bill Register Date</t>
  </si>
  <si>
    <t>Job Code Year</t>
  </si>
  <si>
    <t>CBR_No</t>
  </si>
  <si>
    <t>CBR_Date</t>
  </si>
  <si>
    <t>Gross_ Amount In Lakhs</t>
  </si>
  <si>
    <t>Deduction In Lakhs</t>
  </si>
  <si>
    <t>Nett_ Amount In Lakhs</t>
  </si>
  <si>
    <t>RTGS_No</t>
  </si>
  <si>
    <t>RTGS_Date</t>
  </si>
  <si>
    <t>Contractor Number</t>
  </si>
  <si>
    <t>Contractor_Name</t>
  </si>
  <si>
    <t>P_Code</t>
  </si>
  <si>
    <t>Budget_Head</t>
  </si>
  <si>
    <t>Budget_ Head_ID</t>
  </si>
  <si>
    <t>Engineer Details</t>
  </si>
  <si>
    <t>Gross_ Amount In Cr</t>
  </si>
  <si>
    <t xml:space="preserve">Current/Pending /Spill over </t>
  </si>
  <si>
    <t>April</t>
  </si>
  <si>
    <t>Ramaswamy Palya</t>
  </si>
  <si>
    <t>Vasanth Nagara</t>
  </si>
  <si>
    <t>Shivaji Nagara</t>
  </si>
  <si>
    <t>East</t>
  </si>
  <si>
    <t>062-14-000022</t>
  </si>
  <si>
    <t xml:space="preserve"> improvements and asphalting of Ramakka Block, Chinnappa Graden, Muddamme garden. in ward no 62 </t>
  </si>
  <si>
    <t>Roads &amp; Drivablility</t>
  </si>
  <si>
    <t>KRIDL</t>
  </si>
  <si>
    <t>P2434</t>
  </si>
  <si>
    <t>Development works for Bangalore City</t>
  </si>
  <si>
    <t>ddo088</t>
  </si>
  <si>
    <t xml:space="preserve"> Assistant Executive Engineer Vasanthanagar East Zone</t>
  </si>
  <si>
    <t>Pending</t>
  </si>
  <si>
    <t>062-17-000066</t>
  </si>
  <si>
    <t>Desilting of Drains in Geetha Mandhir 2nd cross road in ward No 62</t>
  </si>
  <si>
    <t>Footpaths &amp; Walkability</t>
  </si>
  <si>
    <t>K.C. Chalapathi</t>
  </si>
  <si>
    <t>P1771</t>
  </si>
  <si>
    <t>Zone Works - POW Works</t>
  </si>
  <si>
    <t>062-17-000077</t>
  </si>
  <si>
    <t>Engagement of Gangman and Hiring of Tractor Tippers for cleaning and Maintenance of road side drains and other cleaning works in works in ward no 62</t>
  </si>
  <si>
    <t>Other Ward Works</t>
  </si>
  <si>
    <t>H.R. Shivaram</t>
  </si>
  <si>
    <t>P3110</t>
  </si>
  <si>
    <t>14th Finance Commission Grant Works</t>
  </si>
  <si>
    <t>Spill Over</t>
  </si>
  <si>
    <t>062-17-000075</t>
  </si>
  <si>
    <t>Providing CC Cameras in ward no 62 Ramaswamypalya</t>
  </si>
  <si>
    <t>Crime &amp; Safety</t>
  </si>
  <si>
    <t xml:space="preserve">N. Sridhar </t>
  </si>
  <si>
    <t>062-17-000073</t>
  </si>
  <si>
    <t xml:space="preserve">Providing and fixing of LED Street lights in Ward No 62 in Shivajinagar Division </t>
  </si>
  <si>
    <t xml:space="preserve">M/s.Ganga Enterprises </t>
  </si>
  <si>
    <t>ddo089</t>
  </si>
  <si>
    <t xml:space="preserve"> Assistant Executive Engineer Electrical East Zone</t>
  </si>
  <si>
    <t>May</t>
  </si>
  <si>
    <t>062-18-000019</t>
  </si>
  <si>
    <t>IMPROVEMENTS TO ROADS AND DRAINS AT 4TH CROSS ROAD IN KEMPAIAH BLOCK AND SURROUNDING AREA IN WARD NO 62</t>
  </si>
  <si>
    <t>P1878</t>
  </si>
  <si>
    <t>18per - Works (Bhagyajyothi, Sooru / Neeru Yojane and General) (54 Lakhs / New Wards)</t>
  </si>
  <si>
    <t>June</t>
  </si>
  <si>
    <t>062-16-000009</t>
  </si>
  <si>
    <t>SINKING OF BOREWELL IN AK COLONY IN WARD NO 62 RAMASWAMYPALYA</t>
  </si>
  <si>
    <t>Water &amp; Sanitary</t>
  </si>
  <si>
    <t>N. K. Raaj Ramesh</t>
  </si>
  <si>
    <t>P1802</t>
  </si>
  <si>
    <t>Water Supply New Areas</t>
  </si>
  <si>
    <t>062-16-000008</t>
  </si>
  <si>
    <t>SINKING OF BOREWELL IN GANGABHAVANI BADAVANE IN WARD NO 62 RAMASWAMYPALYA</t>
  </si>
  <si>
    <t>B.R. Praveen</t>
  </si>
  <si>
    <t>062-18-000016</t>
  </si>
  <si>
    <t>IMPROVEMENTS TO ROADS AND DRAINS AT 3RD CROSS ROAD IN KEMPAIAH BLOCK AND SURROUNDING AREA IN WARD NO 62</t>
  </si>
  <si>
    <t>062-18-000015</t>
  </si>
  <si>
    <t>IMPROVEMENTS TO ROADS AND DRAINS AT 3RD MAIN ROAD IN KEMPAIAH BLOCK AND SURROPUNDING AREA IN WARD NO 62</t>
  </si>
  <si>
    <t>062-14-000012</t>
  </si>
  <si>
    <t>PROVIDING ASPHALTING TO MARAPPA THOTA 2ND,3RD AND 5TH CROSS ROAD AND SURROUNDING AREA IN WARD NO 62</t>
  </si>
  <si>
    <t>Sekar Raju. K</t>
  </si>
  <si>
    <t>062-14-000013</t>
  </si>
  <si>
    <t>PROVIDING ASPHALTING TO PEMME GOWDA ROAD 2ND AND 3RD CROSS AND SURROUNDING AREA IN WARD NO 62 RAMASWAMYPALYA</t>
  </si>
  <si>
    <t>Sehkar Raju. K</t>
  </si>
  <si>
    <t>062-16-000011</t>
  </si>
  <si>
    <t>EMERGENCY GRANTS</t>
  </si>
  <si>
    <t>Karthik. V</t>
  </si>
  <si>
    <t>062-17-000034</t>
  </si>
  <si>
    <t>PROVIDING STONEWARE PIPE AND CONCRETING TO 1ST CROSS ROAD OF RAMAKRISHNAPPA BLOCK AK COLONY IN WARD NO 62</t>
  </si>
  <si>
    <t>S C Ramesh</t>
  </si>
  <si>
    <t>P2023</t>
  </si>
  <si>
    <t>Allocation for Other Programmes (10.88 Lakhs , New Ward)</t>
  </si>
  <si>
    <t>062-17-000035</t>
  </si>
  <si>
    <t>PROVIDING STONEWARE PIPE AND CONCRETING TO 2ND CROSS ROAD OF RAMAKRISHNAPPA BLOCK AK COLONY IN WARD NO 62</t>
  </si>
  <si>
    <t>S.C. Ramesh</t>
  </si>
  <si>
    <t>062-17-000037</t>
  </si>
  <si>
    <t>REPLACEMENT OF STONEWARE PIPE AND IMPROVEMENTS OF DRAINS AND CULVERTS AT RAMAKRISHNAPPA BLOCK IN WARD NO 62</t>
  </si>
  <si>
    <t>S. C. Ramesh</t>
  </si>
  <si>
    <t>062-17-000038</t>
  </si>
  <si>
    <t>PROVIDING STONEWARE PIPE AND CONCRETING TO KALIKAMBA TEMPLE SURROUNDINGS ROAD AT HILL TOP PALYA IN WRD NO 62</t>
  </si>
  <si>
    <t>062-17-000039</t>
  </si>
  <si>
    <t>PROVIDING CC ROAD AND RCC DRAINS AT CHANNAIAH HOUSE ROAD AND SURROUNDING AT HILL TOP MRS PALYA IN WRD NO 62</t>
  </si>
  <si>
    <t>July</t>
  </si>
  <si>
    <t>062-17-000046</t>
  </si>
  <si>
    <t>Filling of Pot Holes in Ward No 62</t>
  </si>
  <si>
    <t>H. Dhananjaya</t>
  </si>
  <si>
    <t>062-18-000097</t>
  </si>
  <si>
    <t>PROVIDING CC ROADS IMPROVEMENTS TO DRAINS AT GANGABHAVANI BADAVANE AND SURROUNDING AREAS IN WARD NO 62</t>
  </si>
  <si>
    <t>Current</t>
  </si>
  <si>
    <t>062-18-000094</t>
  </si>
  <si>
    <t>PROVIDING CC ROADS IMPROVEMENTS TO DRAINS AT LINE 165 QUATRES BEHIND AYYAPPA SCHOOL MRS PALYA AND SURROUNDINGS AREAS IN WARD NO 62</t>
  </si>
  <si>
    <t>062-14-000020</t>
  </si>
  <si>
    <t xml:space="preserve"> improvements and asphalting of Anjaneya Temple Street. in ward no 62 </t>
  </si>
  <si>
    <t>062-18-000054</t>
  </si>
  <si>
    <t>Renovation toilet and houses at Ganga Bhavani Colony 7th cross in ward no 62 Ramaswamy Palya</t>
  </si>
  <si>
    <t>Health &amp; Sanitation</t>
  </si>
  <si>
    <t>P3294</t>
  </si>
  <si>
    <t>14th Finance Commission Works - General Public ToiletandSeptage Maintenance</t>
  </si>
  <si>
    <t>062-18-000053</t>
  </si>
  <si>
    <t>Renovation toilet and houses at Ganga Bhavani Colony 6th cross in ward no 62 Ramaswamy Palya</t>
  </si>
  <si>
    <t>062-18-000049</t>
  </si>
  <si>
    <t>Improvements to bridge near D P Block (Agsamasjid) at Marappa Garden in ward no 62</t>
  </si>
  <si>
    <t>P3111</t>
  </si>
  <si>
    <t>State Finance Commission Untied Grant Works</t>
  </si>
  <si>
    <t>062-16-000013</t>
  </si>
  <si>
    <t>SILT AND TRACTOR IN WARD NO 62</t>
  </si>
  <si>
    <t>062-16-000001</t>
  </si>
  <si>
    <t>Operation and Maintenance of street lights at Ramaswamypalyal area ward no,s 62 Package E 10 for one year.</t>
  </si>
  <si>
    <t>M/s Srinath Electricals</t>
  </si>
  <si>
    <t>P0300</t>
  </si>
  <si>
    <t>M and R to Street Lights - Replacement of Burnt Bulbs etc. (Package)</t>
  </si>
  <si>
    <t>August</t>
  </si>
  <si>
    <t>062-18-000040</t>
  </si>
  <si>
    <t>Comprehenshive development of roads and drains inMVR Block and surrounding areas in ward no 62</t>
  </si>
  <si>
    <t>062-18-000036</t>
  </si>
  <si>
    <t>Comprehenshive development of roads and drains in Muniswamappa road and surrounding area in ward no 62</t>
  </si>
  <si>
    <t>062-18-000047</t>
  </si>
  <si>
    <t>Comprehenshive development of roads and drains in Munimarappa Block and surrounding areas in ward no 62</t>
  </si>
  <si>
    <t>062-18-000039</t>
  </si>
  <si>
    <t>Comprehenshive development of roads and drains in Krishth Jeeva Church and surrounding in ward no 62</t>
  </si>
  <si>
    <t>062-18-000046</t>
  </si>
  <si>
    <t>Comprehenshive development of roads and drains in Pemme gowda 2nd cross and surrounding areas in ward no 62</t>
  </si>
  <si>
    <t>062-18-000044</t>
  </si>
  <si>
    <t>Comprehenshive development of roads and drains in Elite Residency road and surrounding areas in ward no 62</t>
  </si>
  <si>
    <t>062-18-000035</t>
  </si>
  <si>
    <t>Comprehenshive development of roads and drains in Pemmegowda road and surrounding area in ward no 62</t>
  </si>
  <si>
    <t>KRIDl</t>
  </si>
  <si>
    <t>062-18-000045</t>
  </si>
  <si>
    <t>Comprehenshive development of roads and drains in Marappa garden 4th and 3rd cross and surrounding areas in ward no 62</t>
  </si>
  <si>
    <t>062-18-000037</t>
  </si>
  <si>
    <t>Comprehenshive development of roads and drains in Anjaneya Temple Street and surrounding areas in ward no 62</t>
  </si>
  <si>
    <t>062-18-000042</t>
  </si>
  <si>
    <t>Comprehenshive development of roads and drains in Geetha Mandir and surrounding area in ward no 62</t>
  </si>
  <si>
    <t>062-18-000034</t>
  </si>
  <si>
    <t>Comprehenshive development of roads and drains in M M road and surrounding area in ward no 62</t>
  </si>
  <si>
    <t>062-18-000043</t>
  </si>
  <si>
    <t>Comprehenshive development of roads and drains in Annayappa Block and surrounding areas in ward no 62</t>
  </si>
  <si>
    <t>062-18-000038</t>
  </si>
  <si>
    <t>Comprehenshive development of roads and drains in Kempaiah block and surrounding area in ward no 62</t>
  </si>
  <si>
    <t>062-18-000041</t>
  </si>
  <si>
    <t>Comprehenshive development of roads and drains in Marappa garden and surrounding area in ward no 62</t>
  </si>
  <si>
    <t>062-15-000009</t>
  </si>
  <si>
    <t>PROVIDING CEMENT CONCRETE TO MUDDAMMA GARDEN FROM 4TH CROSS SWD TO DEAD END IN WARD NO 62 RAMASWAMY PALYA</t>
  </si>
  <si>
    <t>M/s. SGP Associates</t>
  </si>
  <si>
    <t>062-15-000007</t>
  </si>
  <si>
    <t>PROVIDING CEMENT CONCRETE TO GUNDAPPA BLOCK 2ND CROSS AYYAPPA TEMPLE ROAD CROSS AND SURROUNDINGS AREA IN WARD NO 62 RAMASWAMY PALYA</t>
  </si>
  <si>
    <t xml:space="preserve">M/s. SGP Associates </t>
  </si>
  <si>
    <t>062-18-000048</t>
  </si>
  <si>
    <t>Comprehenshive development of roads and drains in Marappa Block and surrounding in ward no 62</t>
  </si>
  <si>
    <t>062-18-000076</t>
  </si>
  <si>
    <t>Providing and resetting of drains at Nandidurga Road in ward no 62 Ramaswamy palya</t>
  </si>
  <si>
    <t>062-17-000051</t>
  </si>
  <si>
    <t>Providing Water supplier Tanker in ward No 62</t>
  </si>
  <si>
    <t>Karthik.V</t>
  </si>
  <si>
    <t>062-17-000036</t>
  </si>
  <si>
    <t>IMPROVEMENTS TO DRAIN AT SOUTHERN SIDE OF PEMME GOWDA MAIN ROAD ADJACENT TO RAMAKRISHNAPPA BLOCK AK COLONY IN WARD NO 62</t>
  </si>
  <si>
    <t>Vijaya Kumar.S</t>
  </si>
  <si>
    <t>062-18-000102</t>
  </si>
  <si>
    <t>PROVIDING CC ROADS IMPROVEMENTS TO DRAINS AT GANGAMMA TEMPLE MRS PALYA IN WARD NO 62</t>
  </si>
  <si>
    <t>062-18-000096</t>
  </si>
  <si>
    <t>PROVOIDING CC ROADS IMPROVEMENTS TO DRAINS BEHIND INDIRA CANTEEN HILL TOP AND SURROUNDINGS AREAS IN WARD NO 62</t>
  </si>
  <si>
    <t>062-13-000338</t>
  </si>
  <si>
    <t>PROVIDING CEMENT CONCRETE TO MEKKA MASZID ROAD FROM CH 60.00MTR IN RAMASWAMY PALYA IN WARD NO 62</t>
  </si>
  <si>
    <t>Krishna RAj</t>
  </si>
  <si>
    <t>062-13-000349</t>
  </si>
  <si>
    <t>IMPROVEMENT TO DRAIN IN AYYAPPA TEMPLE NEAR SWD GULLIES AND CROSS ROADS AND SURROUNDING AREA IN RAMASWAMY PALYA IN WARD NO 62</t>
  </si>
  <si>
    <t>Krishna Raj</t>
  </si>
  <si>
    <t>062-13-000339</t>
  </si>
  <si>
    <t>PROVIDING CEMENT CONCRETE TO MEKKA MASZID ROAD FROM CH 60.00MTR TO 120MTR IN RAMASWAMY PALYA IN WARD NO 62</t>
  </si>
  <si>
    <t>062-17-000085</t>
  </si>
  <si>
    <t xml:space="preserve">Repairs borewell and water line connections at Hill Top in ward no 62 </t>
  </si>
  <si>
    <t>P3177</t>
  </si>
  <si>
    <t>Developmental works in Ward No.62,92 and 110 ( Rs. 200.00 lakhs per each ward)</t>
  </si>
  <si>
    <t>062-17-000086</t>
  </si>
  <si>
    <t xml:space="preserve">Repairs borewell and water line connections at MRS Palya in ward no 62 </t>
  </si>
  <si>
    <t>062-17-000047</t>
  </si>
  <si>
    <t>Repairs to BBMP Buildings in Ward No 62</t>
  </si>
  <si>
    <t>V. Devananda</t>
  </si>
  <si>
    <t>062-17-000087</t>
  </si>
  <si>
    <t xml:space="preserve">Repairs borewell and water line connections at Annappa Block in ward no 62 </t>
  </si>
  <si>
    <t>Mamatha K Singh</t>
  </si>
  <si>
    <t>062-18-000095</t>
  </si>
  <si>
    <t>PROVIDING ROADS IMPROVEMENTS TO DRAINS BEHIND GOVT SCHOOL MRS PALYA AND SURROUNDINGS AREAS IN WARD NO 62</t>
  </si>
  <si>
    <t>062-18-000101</t>
  </si>
  <si>
    <t>PROVIDING CC ROADS IMPROVEMENTS TO DRAINS HILL TOP BETHAMY CHURCH AND SURROUNDINGS AREAS IN WARD NO 62</t>
  </si>
  <si>
    <t>062-18-000029</t>
  </si>
  <si>
    <t>Providing drinking water facilities in M M Road near hindu burriel ground and surrounding areas in ward no 62</t>
  </si>
  <si>
    <t>Drinking Water</t>
  </si>
  <si>
    <t>P3293</t>
  </si>
  <si>
    <t>14th Finance Commission Works - Drinking Water</t>
  </si>
  <si>
    <t>062-18-000030</t>
  </si>
  <si>
    <t>Providing drinking water facilities near Mubarak masjid Annayappa block and near Marappa garden Bus stop and surrounding areas in ward no 62</t>
  </si>
  <si>
    <t>September</t>
  </si>
  <si>
    <t>062-16-000005</t>
  </si>
  <si>
    <t>IMPROVEMENTS AND CONSTRUCTION OF CULVERTS IN WARD NO 62 RAMASWAMYPALYA</t>
  </si>
  <si>
    <t>Shivakumar.M.N</t>
  </si>
  <si>
    <t>062-18-000051</t>
  </si>
  <si>
    <t>Renovation toilet and houses at Ganga Bhavani Colony 2nd cross in ward no 62 Ramaswamy Palya</t>
  </si>
  <si>
    <t>062-18-000052</t>
  </si>
  <si>
    <t>Renovation toilet and houses at Ganga Bhavani Colony 5th cross in ward no 62 Ramaswamy Palya</t>
  </si>
  <si>
    <t>062-18-000017</t>
  </si>
  <si>
    <t>IMPROVEMENTS TO ROADS AND DRAINS AT 3RD CROSS ROAD PATEL GUNDAPPA BLOCK AND SURROUNDING AREA IN WARD NO 62</t>
  </si>
  <si>
    <t>062-18-000018</t>
  </si>
  <si>
    <t>IMPROVEMENTS TO ROADS AND DRAINS AT 2ND CROSS AYYAPPA TEMPLE ROAD AND SURROUNDING AREA IN WARD NO 62</t>
  </si>
  <si>
    <t>062-17-000059</t>
  </si>
  <si>
    <t>Desilting and Pointing in Ganga Bhavani Badavane in ward No 62</t>
  </si>
  <si>
    <t>062-17-000057</t>
  </si>
  <si>
    <t>Desilting and Pointing in MRS Palya in Ward No 62</t>
  </si>
  <si>
    <t>062-17-000052</t>
  </si>
  <si>
    <t>Providing BWSSB Sanitary road road cutting RMC Filling 1st 3rdm 4th 5th, 6th and other cross chinnappa Garden in ward nO 62</t>
  </si>
  <si>
    <t>062-17-000053</t>
  </si>
  <si>
    <t>Providing BWSSB Sanitary road cutting RMC Filling 1st and 2nd main road Chinnappa Garden and Link Road and Pemme Gowda Road and Ananeya Temple road marappa Thota and other road in Ward No 62</t>
  </si>
  <si>
    <t>October</t>
  </si>
  <si>
    <t>062-18-000032</t>
  </si>
  <si>
    <t>Providing water supply facilitiesin ward no 62 Ramaswamy palya</t>
  </si>
  <si>
    <t>062-18-000031</t>
  </si>
  <si>
    <t>Providing water supply facilities to Near Govt Urdu school in ward no 62</t>
  </si>
  <si>
    <t>062-17-000072</t>
  </si>
  <si>
    <t xml:space="preserve">Providing drinking water works in Ward No 62 in Shivajinagar Division </t>
  </si>
  <si>
    <t>062-18-000025</t>
  </si>
  <si>
    <t>Improvements to drains at 1st main Anjanappa block and surrounding area in ward no 62</t>
  </si>
  <si>
    <t>P3315</t>
  </si>
  <si>
    <t>Improvements of roads and drains at Ramaswamy palya and Chinnappa garden</t>
  </si>
  <si>
    <t>062-18-000028</t>
  </si>
  <si>
    <t>Improvements to drains at 2nd cross road Krishnamma Garden and surrounding area in ward no 62</t>
  </si>
  <si>
    <t>062-18-000024</t>
  </si>
  <si>
    <t>Providing CC road and construction of culverts at1st main road Krishnamma Garden in ward no 62</t>
  </si>
  <si>
    <t>062-13-000353</t>
  </si>
  <si>
    <t>IMPROVEMENT TO DRAIN IN SONNAPPA BLOCK AND SURROUNDING AREA IN RAMASWAMY PALYA IN WARD NO 062</t>
  </si>
  <si>
    <t>Niranjan Enterprises</t>
  </si>
  <si>
    <t>062-18-000099</t>
  </si>
  <si>
    <t>PROVIDING CC ROADS IMPROVEMENTS TO DRAINS 7TH CROSS QUATRAS CHINNAPPA GARDEN AND MRS PALYA SURROUNDING AREAS IN WARD NO 62</t>
  </si>
  <si>
    <t>November</t>
  </si>
  <si>
    <t>062-18-000064</t>
  </si>
  <si>
    <t>Providing L E D Street Lights to Ward no 62</t>
  </si>
  <si>
    <t>M/s.KRIDL</t>
  </si>
  <si>
    <t>P3290</t>
  </si>
  <si>
    <t>14th Finance Commission Works - Providing Street Lights and Maintenance</t>
  </si>
  <si>
    <t>062-18-000050</t>
  </si>
  <si>
    <t>Providing energy efficient street lights, tubular poles and timers to Khazi Abdul Kuddus Saheb Muslim Burial Ground surrounding in Nandi Durga Road in ward no 62</t>
  </si>
  <si>
    <t>P3291</t>
  </si>
  <si>
    <t>14th Fin  -Maintenance of Cremotorium, Burial Grounds</t>
  </si>
  <si>
    <t>062-18-000103</t>
  </si>
  <si>
    <t xml:space="preserve">Providing Ornamental grill gate benches and beautification Work to Indira Canteen in Ward No. 62 Rama Swamy Palya </t>
  </si>
  <si>
    <t>Indira Canteen</t>
  </si>
  <si>
    <t>P3106</t>
  </si>
  <si>
    <t>Nagarothana Works</t>
  </si>
  <si>
    <t>December</t>
  </si>
  <si>
    <t>062-18-000100</t>
  </si>
  <si>
    <t>PROVIDING CC ROADS IMPROVEMENTS TO DRAINS CHINNAPPA GARDEN LINK ROAD SURROUNDING AREAS IN WARD NO 62</t>
  </si>
  <si>
    <t>062-17-000083</t>
  </si>
  <si>
    <t>Filling pot holes in ward no 62 Ramaswamy Palya</t>
  </si>
  <si>
    <t>062-17-000091</t>
  </si>
  <si>
    <t>PROVIDING SANITARY LINE AND CC AND ASPHALTING TO ROAD CUT PORTION IN CHURCH ROAD AND GREEN OAK APARTTMENT ROAD AND SURROUNDING IN WARD NO 62</t>
  </si>
  <si>
    <t>062-18-000073</t>
  </si>
  <si>
    <t>Removing debries and jungle cleaning in burial Ramaswamy Palya in ward no 62</t>
  </si>
  <si>
    <t>062-18-000098</t>
  </si>
  <si>
    <t>PROVIDING CC ROADS IMPROVEMENTS TO DRAINS AT GANGABHAVANI BADAVANE AND MRS PALYA SURROUNDING AREAS IN WARD NO 62</t>
  </si>
  <si>
    <t>062-17-000050</t>
  </si>
  <si>
    <t>Providing Kerb Stone Painting in ward No 62</t>
  </si>
  <si>
    <t>Koushal.S</t>
  </si>
  <si>
    <t>062-17-000065</t>
  </si>
  <si>
    <t>Desilting of Drains in Geetha Mandhir 1st cross road in ward No 62</t>
  </si>
  <si>
    <t>062-17-000058</t>
  </si>
  <si>
    <t>Desilting and Pointing in Mubharak Moulla in ward No 62</t>
  </si>
  <si>
    <t>062-17-000064</t>
  </si>
  <si>
    <t>Desilting of Drains in Krishnamma Garden in ward No 62</t>
  </si>
  <si>
    <t>062-17-000062</t>
  </si>
  <si>
    <t>Desilting of Drains in Anjaneya Temple street 3rd cross Both side in Ward No 62</t>
  </si>
  <si>
    <t>Koushal S</t>
  </si>
  <si>
    <t>062-17-000067</t>
  </si>
  <si>
    <t>Desilting of PG Road 1st Cross in Ward No 62</t>
  </si>
  <si>
    <t>Arun KUmar</t>
  </si>
  <si>
    <t>062-17-000063</t>
  </si>
  <si>
    <t>Desilting of Drains in Anjaneya Temple street in Ward No 62</t>
  </si>
  <si>
    <t>062-17-000069</t>
  </si>
  <si>
    <t>Desilting of PG Road 3rd Cross in Ward No 62</t>
  </si>
  <si>
    <t>Arun Kumar</t>
  </si>
  <si>
    <t>062-17-000009</t>
  </si>
  <si>
    <t>Providing cement concrete in front of Toilet Block and surrounding area at Ganga Bhavani layout in ward no 62 Ramaswamy palya</t>
  </si>
  <si>
    <t>P3075</t>
  </si>
  <si>
    <t>Special comprehensive development works in Bangalore city (Bangalore city in charge Minister Discretionary Grants)</t>
  </si>
  <si>
    <t>January</t>
  </si>
  <si>
    <t>062-18-000069</t>
  </si>
  <si>
    <t>Providing modern dust bin in ward no 62 Ramaswamy Palya</t>
  </si>
  <si>
    <t>P3298</t>
  </si>
  <si>
    <t>14th Finance Commission Works - SWM Works</t>
  </si>
  <si>
    <t>February</t>
  </si>
  <si>
    <t>062-18-000067</t>
  </si>
  <si>
    <t>Improvements to drain from Chinnappa Garden 1st main to 4th main in ward no 62 Ramaswamy Palya</t>
  </si>
  <si>
    <t>P3297</t>
  </si>
  <si>
    <t>14th Finance Commission Grants - SWD Works</t>
  </si>
  <si>
    <t>062-18-000066</t>
  </si>
  <si>
    <t>Improvements to footpath and roads at Church road in ward no 62 Ramaswamy Palya</t>
  </si>
  <si>
    <t>P3296</t>
  </si>
  <si>
    <t>14th Finance Commission Works - Road and Footpath Maintenance</t>
  </si>
  <si>
    <t>062-18-000065</t>
  </si>
  <si>
    <t>Repairs to BBMP office building at Queens road ward 62</t>
  </si>
  <si>
    <t>Public Amenities</t>
  </si>
  <si>
    <t>P3292</t>
  </si>
  <si>
    <t>14th Finance Commission Works - Community Property Maintenance (including Parks)</t>
  </si>
  <si>
    <t>062-17-000006</t>
  </si>
  <si>
    <t>Improvements and desilting of drains at Ganga Bhavani layout main road in ward no 62 Ramaswamy Palya</t>
  </si>
  <si>
    <t>062-17-000010</t>
  </si>
  <si>
    <t>Providing cement concrete road near Dhandu Mariyamma temple at Ganga Bhavani layout in ward no 62 Ramaswamy palya</t>
  </si>
  <si>
    <t>062-17-000011</t>
  </si>
  <si>
    <t>Providing cement concrete to gully roads at Ganga Bhavani layout in ward no 62 Ramaswamy palya</t>
  </si>
  <si>
    <t>062-17-000017</t>
  </si>
  <si>
    <t>Improvements of Small Lands by providing CC to Roads in MRS Palya and surrounding Area in ward 62 Ramaswamy palya</t>
  </si>
  <si>
    <t xml:space="preserve">S.C. Ramesh </t>
  </si>
  <si>
    <t>062-17-000013</t>
  </si>
  <si>
    <t>Improvements and Desilting of Drains at MRS palya in ward in ward 62 Ramaswamy palya</t>
  </si>
  <si>
    <t>SC Ramesh</t>
  </si>
  <si>
    <t>062-17-000008</t>
  </si>
  <si>
    <t>Providing cement concrete road to near Adhisshakthi Temple and surrounding area at Ganga Bhavani layout in ward no 62 Ramaswamy palya</t>
  </si>
  <si>
    <t>Vijaya Kumar. S</t>
  </si>
  <si>
    <t>062-17-000007</t>
  </si>
  <si>
    <t>Improvement of Desilting of Culverts at Ganga Bhavani layout main road in ward no 62 Ramaswamy palya</t>
  </si>
  <si>
    <t>062-18-000057</t>
  </si>
  <si>
    <t>Renovation toilet and houses at MRS Palya 3rd cross in ward no 62</t>
  </si>
  <si>
    <t>062-18-000058</t>
  </si>
  <si>
    <t>Renovation toilet and houses at Bande Palya in ward no 62</t>
  </si>
  <si>
    <t>062-18-000068</t>
  </si>
  <si>
    <t>Improvements to segregation point in ward no 62 Ramaswamy Palya</t>
  </si>
  <si>
    <t>March</t>
  </si>
  <si>
    <t>062-17-000092</t>
  </si>
  <si>
    <t>PROVIDING SANITARY LINE AND CC TO ROAD CUT PORTION TO GUNDAPPA BLOCK 3RD CROSS IN WARD NO 62</t>
  </si>
  <si>
    <t>062-17-000090</t>
  </si>
  <si>
    <t>PROVIDING SANITARY LINE AND ASPHALTING TO ROAD CUT PORTION IN MARAPPA THOTA AND SURROUNDINGS</t>
  </si>
  <si>
    <t>H. R. Shivaram</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</si>
</sst>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theme="1"/>
      <name val="Calibri"/>
      <family val="2"/>
      <scheme val="minor"/>
    </font>
    <font>
      <b/>
      <sz val="10"/>
      <color theme="1"/>
      <name val="Calibri"/>
      <family val="2"/>
      <scheme val="minor"/>
    </font>
    <font>
      <sz val="10"/>
      <color theme="1"/>
      <name val="Calibri"/>
      <family val="2"/>
      <scheme val="minor"/>
    </font>
  </fonts>
  <fills count="3">
    <fill>
      <patternFill patternType="none"/>
    </fill>
    <fill>
      <patternFill patternType="gray125"/>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6">
    <xf numFmtId="0" fontId="0" fillId="0" borderId="0" xfId="0"/>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2" fillId="0" borderId="0" xfId="0" applyFont="1" applyAlignment="1">
      <alignment horizontal="center" vertical="center"/>
    </xf>
    <xf numFmtId="0" fontId="2" fillId="0" borderId="0" xfId="0" applyFont="1"/>
    <xf numFmtId="0" fontId="2" fillId="0" borderId="0" xfId="0" applyFont="1" applyAlignment="1">
      <alignment horizontal="center"/>
    </xf>
    <xf numFmtId="0" fontId="2" fillId="0" borderId="0" xfId="0" applyFont="1" applyAlignment="1">
      <alignment horizontal="left"/>
    </xf>
    <xf numFmtId="0" fontId="2" fillId="0" borderId="0" xfId="0" applyFont="1" applyAlignment="1">
      <alignment horizontal="right"/>
    </xf>
    <xf numFmtId="1" fontId="2" fillId="0" borderId="1" xfId="0" applyNumberFormat="1" applyFont="1" applyBorder="1" applyAlignment="1">
      <alignment horizontal="left" vertical="center"/>
    </xf>
    <xf numFmtId="15" fontId="2" fillId="0" borderId="1" xfId="0" applyNumberFormat="1" applyFont="1" applyBorder="1" applyAlignment="1">
      <alignment horizontal="left" vertical="center"/>
    </xf>
    <xf numFmtId="15" fontId="2" fillId="0" borderId="1" xfId="0" applyNumberFormat="1"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0" borderId="1" xfId="0" applyFont="1" applyFill="1" applyBorder="1" applyAlignment="1">
      <alignment horizontal="left" vertical="center"/>
    </xf>
    <xf numFmtId="2" fontId="2" fillId="0" borderId="1" xfId="0" applyNumberFormat="1" applyFont="1" applyBorder="1" applyAlignment="1">
      <alignment horizontal="right" vertical="center"/>
    </xf>
    <xf numFmtId="0" fontId="2" fillId="0" borderId="1" xfId="0" applyFont="1" applyFill="1" applyBorder="1" applyAlignment="1">
      <alignmen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122"/>
  <sheetViews>
    <sheetView tabSelected="1" workbookViewId="0">
      <pane ySplit="1" topLeftCell="A2" activePane="bottomLeft" state="frozen"/>
      <selection activeCell="H1" sqref="H1"/>
      <selection pane="bottomLeft" activeCell="E9" sqref="E9"/>
    </sheetView>
  </sheetViews>
  <sheetFormatPr defaultRowHeight="12.75" x14ac:dyDescent="0.2"/>
  <cols>
    <col min="1" max="1" width="6" style="5" bestFit="1" customWidth="1"/>
    <col min="2" max="2" width="9.140625" style="5" bestFit="1" customWidth="1"/>
    <col min="3" max="3" width="9.5703125" style="5" customWidth="1"/>
    <col min="4" max="4" width="8.42578125" style="5" customWidth="1"/>
    <col min="5" max="5" width="16.28515625" style="6" bestFit="1" customWidth="1"/>
    <col min="6" max="6" width="10.7109375" style="6" bestFit="1" customWidth="1"/>
    <col min="7" max="8" width="9.140625" style="6" bestFit="1" customWidth="1"/>
    <col min="9" max="9" width="14.85546875" style="5" customWidth="1"/>
    <col min="10" max="10" width="14.140625" style="4" customWidth="1"/>
    <col min="11" max="11" width="22.85546875" style="5" bestFit="1" customWidth="1"/>
    <col min="12" max="12" width="7.140625" style="5" customWidth="1"/>
    <col min="13" max="13" width="9.7109375" style="5" customWidth="1"/>
    <col min="14" max="14" width="11.85546875" style="5" customWidth="1"/>
    <col min="15" max="15" width="9.42578125" style="5" customWidth="1"/>
    <col min="16" max="16" width="10.28515625" style="5" customWidth="1"/>
    <col min="17" max="17" width="10" style="5" customWidth="1"/>
    <col min="18" max="18" width="7.85546875" style="5" customWidth="1"/>
    <col min="19" max="20" width="9.5703125" style="5" bestFit="1" customWidth="1"/>
    <col min="21" max="21" width="12.7109375" style="7" customWidth="1"/>
    <col min="22" max="22" width="9" style="7" bestFit="1" customWidth="1"/>
    <col min="23" max="23" width="12.140625" style="7" customWidth="1"/>
    <col min="24" max="24" width="6.140625" style="5" customWidth="1"/>
    <col min="25" max="25" width="9.5703125" style="5" bestFit="1" customWidth="1"/>
    <col min="26" max="26" width="11.7109375" style="5" customWidth="1"/>
    <col min="27" max="27" width="18.42578125" style="4" customWidth="1"/>
    <col min="28" max="28" width="7.85546875" style="5" customWidth="1"/>
    <col min="29" max="29" width="16.85546875" style="4" customWidth="1"/>
    <col min="30" max="30" width="9.140625" style="5" customWidth="1"/>
    <col min="31" max="31" width="14.140625" style="4" customWidth="1"/>
    <col min="32" max="32" width="11.42578125" style="5" bestFit="1" customWidth="1"/>
    <col min="33" max="33" width="14" style="5" customWidth="1"/>
    <col min="34" max="16384" width="9.140625" style="4"/>
  </cols>
  <sheetData>
    <row r="1" spans="1:33" s="3" customFormat="1" ht="24" customHeight="1" x14ac:dyDescent="0.25">
      <c r="A1" s="1" t="s">
        <v>0</v>
      </c>
      <c r="B1" s="1" t="s">
        <v>1</v>
      </c>
      <c r="C1" s="1" t="s">
        <v>2</v>
      </c>
      <c r="D1" s="1" t="s">
        <v>3</v>
      </c>
      <c r="E1" s="1" t="s">
        <v>4</v>
      </c>
      <c r="F1" s="1" t="s">
        <v>5</v>
      </c>
      <c r="G1" s="1" t="s">
        <v>6</v>
      </c>
      <c r="H1" s="1" t="s">
        <v>7</v>
      </c>
      <c r="I1" s="1" t="s">
        <v>8</v>
      </c>
      <c r="J1" s="1" t="s">
        <v>9</v>
      </c>
      <c r="K1" s="1" t="s">
        <v>10</v>
      </c>
      <c r="L1" s="2" t="s">
        <v>11</v>
      </c>
      <c r="M1" s="2" t="s">
        <v>12</v>
      </c>
      <c r="N1" s="2" t="s">
        <v>13</v>
      </c>
      <c r="O1" s="2" t="s">
        <v>14</v>
      </c>
      <c r="P1" s="2" t="s">
        <v>15</v>
      </c>
      <c r="Q1" s="2" t="s">
        <v>16</v>
      </c>
      <c r="R1" s="2" t="s">
        <v>17</v>
      </c>
      <c r="S1" s="1" t="s">
        <v>18</v>
      </c>
      <c r="T1" s="1" t="s">
        <v>19</v>
      </c>
      <c r="U1" s="2" t="s">
        <v>20</v>
      </c>
      <c r="V1" s="2" t="s">
        <v>21</v>
      </c>
      <c r="W1" s="2" t="s">
        <v>22</v>
      </c>
      <c r="X1" s="2" t="s">
        <v>23</v>
      </c>
      <c r="Y1" s="1" t="s">
        <v>24</v>
      </c>
      <c r="Z1" s="2" t="s">
        <v>25</v>
      </c>
      <c r="AA1" s="1" t="s">
        <v>26</v>
      </c>
      <c r="AB1" s="1" t="s">
        <v>27</v>
      </c>
      <c r="AC1" s="1" t="s">
        <v>28</v>
      </c>
      <c r="AD1" s="2" t="s">
        <v>29</v>
      </c>
      <c r="AE1" s="1" t="s">
        <v>30</v>
      </c>
      <c r="AF1" s="2" t="s">
        <v>31</v>
      </c>
      <c r="AG1" s="2" t="s">
        <v>32</v>
      </c>
    </row>
    <row r="2" spans="1:33" x14ac:dyDescent="0.2">
      <c r="A2" s="8">
        <v>374</v>
      </c>
      <c r="B2" s="9" t="s">
        <v>33</v>
      </c>
      <c r="C2" s="10">
        <v>43200</v>
      </c>
      <c r="D2" s="11">
        <v>62</v>
      </c>
      <c r="E2" s="12" t="s">
        <v>34</v>
      </c>
      <c r="F2" s="12" t="s">
        <v>35</v>
      </c>
      <c r="G2" s="12" t="s">
        <v>36</v>
      </c>
      <c r="H2" s="12" t="s">
        <v>37</v>
      </c>
      <c r="I2" s="11" t="s">
        <v>38</v>
      </c>
      <c r="J2" s="12" t="s">
        <v>39</v>
      </c>
      <c r="K2" s="13" t="s">
        <v>40</v>
      </c>
      <c r="L2" s="11" t="str">
        <f>"000226"</f>
        <v>000226</v>
      </c>
      <c r="M2" s="10">
        <v>42044</v>
      </c>
      <c r="N2" s="11" t="str">
        <f>"000010"</f>
        <v>000010</v>
      </c>
      <c r="O2" s="10">
        <v>42460</v>
      </c>
      <c r="P2" s="11" t="str">
        <f>"000098"</f>
        <v>000098</v>
      </c>
      <c r="Q2" s="10">
        <v>42563</v>
      </c>
      <c r="R2" s="11">
        <v>14</v>
      </c>
      <c r="S2" s="11" t="str">
        <f>"000204"</f>
        <v>000204</v>
      </c>
      <c r="T2" s="10">
        <v>43194</v>
      </c>
      <c r="U2" s="14">
        <v>82.656649999999999</v>
      </c>
      <c r="V2" s="14">
        <v>11.3749</v>
      </c>
      <c r="W2" s="14">
        <v>71.281750000000002</v>
      </c>
      <c r="X2" s="11">
        <v>9</v>
      </c>
      <c r="Y2" s="10">
        <v>43200</v>
      </c>
      <c r="Z2" s="11">
        <v>9986244985</v>
      </c>
      <c r="AA2" s="12" t="s">
        <v>41</v>
      </c>
      <c r="AB2" s="11" t="s">
        <v>42</v>
      </c>
      <c r="AC2" s="12" t="s">
        <v>43</v>
      </c>
      <c r="AD2" s="11" t="s">
        <v>44</v>
      </c>
      <c r="AE2" s="12" t="s">
        <v>45</v>
      </c>
      <c r="AF2" s="14">
        <v>0.82656649999999998</v>
      </c>
      <c r="AG2" s="11" t="s">
        <v>46</v>
      </c>
    </row>
    <row r="3" spans="1:33" x14ac:dyDescent="0.2">
      <c r="A3" s="8">
        <v>375</v>
      </c>
      <c r="B3" s="9" t="s">
        <v>33</v>
      </c>
      <c r="C3" s="10">
        <v>43200</v>
      </c>
      <c r="D3" s="11">
        <v>62</v>
      </c>
      <c r="E3" s="12" t="s">
        <v>34</v>
      </c>
      <c r="F3" s="12" t="s">
        <v>35</v>
      </c>
      <c r="G3" s="12" t="s">
        <v>36</v>
      </c>
      <c r="H3" s="12" t="s">
        <v>37</v>
      </c>
      <c r="I3" s="11" t="s">
        <v>47</v>
      </c>
      <c r="J3" s="12" t="s">
        <v>48</v>
      </c>
      <c r="K3" s="13" t="s">
        <v>49</v>
      </c>
      <c r="L3" s="11" t="str">
        <f>"000048"</f>
        <v>000048</v>
      </c>
      <c r="M3" s="10">
        <v>42979</v>
      </c>
      <c r="N3" s="11" t="str">
        <f>"000167"</f>
        <v>000167</v>
      </c>
      <c r="O3" s="10">
        <v>42916</v>
      </c>
      <c r="P3" s="11" t="str">
        <f>"000035"</f>
        <v>000035</v>
      </c>
      <c r="Q3" s="10">
        <v>42986</v>
      </c>
      <c r="R3" s="11">
        <v>17</v>
      </c>
      <c r="S3" s="11" t="str">
        <f>"000168"</f>
        <v>000168</v>
      </c>
      <c r="T3" s="10">
        <v>43194</v>
      </c>
      <c r="U3" s="14">
        <v>2.9533999999999998</v>
      </c>
      <c r="V3" s="14">
        <v>2.2534000000000001</v>
      </c>
      <c r="W3" s="14">
        <v>0.7</v>
      </c>
      <c r="X3" s="11">
        <v>11</v>
      </c>
      <c r="Y3" s="10">
        <v>43200</v>
      </c>
      <c r="Z3" s="11">
        <v>9448049099</v>
      </c>
      <c r="AA3" s="12" t="s">
        <v>50</v>
      </c>
      <c r="AB3" s="11" t="s">
        <v>51</v>
      </c>
      <c r="AC3" s="12" t="s">
        <v>52</v>
      </c>
      <c r="AD3" s="11" t="s">
        <v>44</v>
      </c>
      <c r="AE3" s="12" t="s">
        <v>45</v>
      </c>
      <c r="AF3" s="14">
        <v>2.9533999999999998E-2</v>
      </c>
      <c r="AG3" s="11" t="s">
        <v>46</v>
      </c>
    </row>
    <row r="4" spans="1:33" x14ac:dyDescent="0.2">
      <c r="A4" s="8">
        <v>376</v>
      </c>
      <c r="B4" s="9" t="s">
        <v>33</v>
      </c>
      <c r="C4" s="10">
        <v>43200</v>
      </c>
      <c r="D4" s="11">
        <v>62</v>
      </c>
      <c r="E4" s="12" t="s">
        <v>34</v>
      </c>
      <c r="F4" s="12" t="s">
        <v>35</v>
      </c>
      <c r="G4" s="12" t="s">
        <v>36</v>
      </c>
      <c r="H4" s="12" t="s">
        <v>37</v>
      </c>
      <c r="I4" s="11" t="s">
        <v>53</v>
      </c>
      <c r="J4" s="12" t="s">
        <v>54</v>
      </c>
      <c r="K4" s="13" t="s">
        <v>55</v>
      </c>
      <c r="L4" s="11" t="str">
        <f>"000151"</f>
        <v>000151</v>
      </c>
      <c r="M4" s="10">
        <v>43038</v>
      </c>
      <c r="N4" s="11" t="str">
        <f>"000012"</f>
        <v>000012</v>
      </c>
      <c r="O4" s="10">
        <v>43283</v>
      </c>
      <c r="P4" s="11" t="str">
        <f>""</f>
        <v/>
      </c>
      <c r="Q4" s="10"/>
      <c r="R4" s="11">
        <v>17</v>
      </c>
      <c r="S4" s="11" t="str">
        <f>""</f>
        <v/>
      </c>
      <c r="T4" s="10"/>
      <c r="U4" s="14">
        <v>1.06507</v>
      </c>
      <c r="V4" s="14">
        <v>2.24E-2</v>
      </c>
      <c r="W4" s="14">
        <v>1.04267</v>
      </c>
      <c r="X4" s="11">
        <v>13</v>
      </c>
      <c r="Y4" s="10">
        <v>43200</v>
      </c>
      <c r="Z4" s="11">
        <v>9448049099</v>
      </c>
      <c r="AA4" s="12" t="s">
        <v>56</v>
      </c>
      <c r="AB4" s="11" t="s">
        <v>57</v>
      </c>
      <c r="AC4" s="12" t="s">
        <v>58</v>
      </c>
      <c r="AD4" s="11" t="s">
        <v>44</v>
      </c>
      <c r="AE4" s="12" t="s">
        <v>45</v>
      </c>
      <c r="AF4" s="14">
        <v>1.0650699999999999E-2</v>
      </c>
      <c r="AG4" s="11" t="s">
        <v>59</v>
      </c>
    </row>
    <row r="5" spans="1:33" x14ac:dyDescent="0.2">
      <c r="A5" s="8">
        <v>658</v>
      </c>
      <c r="B5" s="9" t="s">
        <v>33</v>
      </c>
      <c r="C5" s="10">
        <v>43215</v>
      </c>
      <c r="D5" s="11">
        <v>62</v>
      </c>
      <c r="E5" s="12" t="s">
        <v>34</v>
      </c>
      <c r="F5" s="12" t="s">
        <v>35</v>
      </c>
      <c r="G5" s="12" t="s">
        <v>36</v>
      </c>
      <c r="H5" s="12" t="s">
        <v>37</v>
      </c>
      <c r="I5" s="11" t="s">
        <v>60</v>
      </c>
      <c r="J5" s="12" t="s">
        <v>61</v>
      </c>
      <c r="K5" s="13" t="s">
        <v>62</v>
      </c>
      <c r="L5" s="11" t="str">
        <f>"000203"</f>
        <v>000203</v>
      </c>
      <c r="M5" s="10">
        <v>43154</v>
      </c>
      <c r="N5" s="11" t="str">
        <f>"000055"</f>
        <v>000055</v>
      </c>
      <c r="O5" s="10">
        <v>43155</v>
      </c>
      <c r="P5" s="11" t="str">
        <f>"000262"</f>
        <v>000262</v>
      </c>
      <c r="Q5" s="10">
        <v>43155</v>
      </c>
      <c r="R5" s="11">
        <v>17</v>
      </c>
      <c r="S5" s="11" t="str">
        <f>"000615"</f>
        <v>000615</v>
      </c>
      <c r="T5" s="10">
        <v>43209</v>
      </c>
      <c r="U5" s="14">
        <v>10.028930000000001</v>
      </c>
      <c r="V5" s="14">
        <v>0.52749999999999997</v>
      </c>
      <c r="W5" s="14">
        <v>9.5014299999999992</v>
      </c>
      <c r="X5" s="11">
        <v>24</v>
      </c>
      <c r="Y5" s="10">
        <v>43215</v>
      </c>
      <c r="Z5" s="11">
        <v>9845118384</v>
      </c>
      <c r="AA5" s="12" t="s">
        <v>63</v>
      </c>
      <c r="AB5" s="11" t="s">
        <v>57</v>
      </c>
      <c r="AC5" s="12" t="s">
        <v>58</v>
      </c>
      <c r="AD5" s="11" t="s">
        <v>44</v>
      </c>
      <c r="AE5" s="12" t="s">
        <v>45</v>
      </c>
      <c r="AF5" s="14">
        <v>0.10028930000000001</v>
      </c>
      <c r="AG5" s="11" t="s">
        <v>46</v>
      </c>
    </row>
    <row r="6" spans="1:33" x14ac:dyDescent="0.2">
      <c r="A6" s="8">
        <v>659</v>
      </c>
      <c r="B6" s="9" t="s">
        <v>33</v>
      </c>
      <c r="C6" s="10">
        <v>43215</v>
      </c>
      <c r="D6" s="11">
        <v>62</v>
      </c>
      <c r="E6" s="12" t="s">
        <v>34</v>
      </c>
      <c r="F6" s="12" t="s">
        <v>35</v>
      </c>
      <c r="G6" s="12" t="s">
        <v>36</v>
      </c>
      <c r="H6" s="12" t="s">
        <v>37</v>
      </c>
      <c r="I6" s="11" t="s">
        <v>64</v>
      </c>
      <c r="J6" s="12" t="s">
        <v>65</v>
      </c>
      <c r="K6" s="13" t="s">
        <v>49</v>
      </c>
      <c r="L6" s="11" t="str">
        <f>"000152"</f>
        <v>000152</v>
      </c>
      <c r="M6" s="10">
        <v>43186</v>
      </c>
      <c r="N6" s="11" t="str">
        <f>"000217"</f>
        <v>000217</v>
      </c>
      <c r="O6" s="10">
        <v>43186</v>
      </c>
      <c r="P6" s="11" t="str">
        <f>"000206"</f>
        <v>000206</v>
      </c>
      <c r="Q6" s="10">
        <v>43187</v>
      </c>
      <c r="R6" s="11">
        <v>17</v>
      </c>
      <c r="S6" s="11" t="str">
        <f>"000618"</f>
        <v>000618</v>
      </c>
      <c r="T6" s="10">
        <v>43209</v>
      </c>
      <c r="U6" s="14">
        <v>5.7880000000000003</v>
      </c>
      <c r="V6" s="14">
        <v>0.1797</v>
      </c>
      <c r="W6" s="14">
        <v>5.6082999999999998</v>
      </c>
      <c r="X6" s="11">
        <v>24</v>
      </c>
      <c r="Y6" s="10">
        <v>43215</v>
      </c>
      <c r="Z6" s="11">
        <v>9620096296</v>
      </c>
      <c r="AA6" s="12" t="s">
        <v>66</v>
      </c>
      <c r="AB6" s="11" t="s">
        <v>57</v>
      </c>
      <c r="AC6" s="12" t="s">
        <v>58</v>
      </c>
      <c r="AD6" s="11" t="s">
        <v>67</v>
      </c>
      <c r="AE6" s="12" t="s">
        <v>68</v>
      </c>
      <c r="AF6" s="14">
        <v>5.7880000000000001E-2</v>
      </c>
      <c r="AG6" s="11" t="s">
        <v>46</v>
      </c>
    </row>
    <row r="7" spans="1:33" x14ac:dyDescent="0.2">
      <c r="A7" s="8">
        <v>660</v>
      </c>
      <c r="B7" s="9" t="s">
        <v>33</v>
      </c>
      <c r="C7" s="10">
        <v>43215</v>
      </c>
      <c r="D7" s="11">
        <v>62</v>
      </c>
      <c r="E7" s="12" t="s">
        <v>34</v>
      </c>
      <c r="F7" s="12" t="s">
        <v>35</v>
      </c>
      <c r="G7" s="12" t="s">
        <v>36</v>
      </c>
      <c r="H7" s="12" t="s">
        <v>37</v>
      </c>
      <c r="I7" s="11" t="s">
        <v>53</v>
      </c>
      <c r="J7" s="12" t="s">
        <v>54</v>
      </c>
      <c r="K7" s="13" t="s">
        <v>55</v>
      </c>
      <c r="L7" s="11" t="str">
        <f>"000151"</f>
        <v>000151</v>
      </c>
      <c r="M7" s="10">
        <v>43038</v>
      </c>
      <c r="N7" s="11" t="str">
        <f>"000012"</f>
        <v>000012</v>
      </c>
      <c r="O7" s="10">
        <v>43283</v>
      </c>
      <c r="P7" s="11" t="str">
        <f>""</f>
        <v/>
      </c>
      <c r="Q7" s="10"/>
      <c r="R7" s="11">
        <v>17</v>
      </c>
      <c r="S7" s="11" t="str">
        <f>""</f>
        <v/>
      </c>
      <c r="T7" s="10"/>
      <c r="U7" s="14">
        <v>1.06507</v>
      </c>
      <c r="V7" s="14">
        <v>2.24E-2</v>
      </c>
      <c r="W7" s="14">
        <v>1.04267</v>
      </c>
      <c r="X7" s="11">
        <v>24</v>
      </c>
      <c r="Y7" s="10">
        <v>43215</v>
      </c>
      <c r="Z7" s="11">
        <v>9448049099</v>
      </c>
      <c r="AA7" s="12" t="s">
        <v>56</v>
      </c>
      <c r="AB7" s="11" t="s">
        <v>57</v>
      </c>
      <c r="AC7" s="12" t="s">
        <v>58</v>
      </c>
      <c r="AD7" s="11" t="s">
        <v>44</v>
      </c>
      <c r="AE7" s="12" t="s">
        <v>45</v>
      </c>
      <c r="AF7" s="14">
        <v>1.0650699999999999E-2</v>
      </c>
      <c r="AG7" s="11" t="s">
        <v>59</v>
      </c>
    </row>
    <row r="8" spans="1:33" x14ac:dyDescent="0.2">
      <c r="A8" s="8">
        <v>1428</v>
      </c>
      <c r="B8" s="9" t="s">
        <v>69</v>
      </c>
      <c r="C8" s="10">
        <v>43242</v>
      </c>
      <c r="D8" s="11">
        <v>62</v>
      </c>
      <c r="E8" s="12" t="s">
        <v>34</v>
      </c>
      <c r="F8" s="12" t="s">
        <v>35</v>
      </c>
      <c r="G8" s="12" t="s">
        <v>36</v>
      </c>
      <c r="H8" s="12" t="s">
        <v>37</v>
      </c>
      <c r="I8" s="11" t="s">
        <v>70</v>
      </c>
      <c r="J8" s="12" t="s">
        <v>71</v>
      </c>
      <c r="K8" s="13" t="s">
        <v>40</v>
      </c>
      <c r="L8" s="11" t="str">
        <f>"000218"</f>
        <v>000218</v>
      </c>
      <c r="M8" s="10">
        <v>43159</v>
      </c>
      <c r="N8" s="11" t="str">
        <f>"000059"</f>
        <v>000059</v>
      </c>
      <c r="O8" s="10">
        <v>43159</v>
      </c>
      <c r="P8" s="11" t="str">
        <f>"000268"</f>
        <v>000268</v>
      </c>
      <c r="Q8" s="10">
        <v>43159</v>
      </c>
      <c r="R8" s="11">
        <v>18</v>
      </c>
      <c r="S8" s="11" t="str">
        <f>"001592"</f>
        <v>001592</v>
      </c>
      <c r="T8" s="10">
        <v>43238</v>
      </c>
      <c r="U8" s="14">
        <v>19.48358</v>
      </c>
      <c r="V8" s="14">
        <v>2.3581500000000002</v>
      </c>
      <c r="W8" s="14">
        <v>17.125430000000001</v>
      </c>
      <c r="X8" s="11">
        <v>61</v>
      </c>
      <c r="Y8" s="10">
        <v>43242</v>
      </c>
      <c r="Z8" s="11">
        <v>8050030921</v>
      </c>
      <c r="AA8" s="12" t="s">
        <v>41</v>
      </c>
      <c r="AB8" s="11" t="s">
        <v>72</v>
      </c>
      <c r="AC8" s="12" t="s">
        <v>73</v>
      </c>
      <c r="AD8" s="11" t="s">
        <v>44</v>
      </c>
      <c r="AE8" s="12" t="s">
        <v>45</v>
      </c>
      <c r="AF8" s="14">
        <v>0.1948358</v>
      </c>
      <c r="AG8" s="11" t="s">
        <v>46</v>
      </c>
    </row>
    <row r="9" spans="1:33" x14ac:dyDescent="0.2">
      <c r="A9" s="8">
        <v>1623</v>
      </c>
      <c r="B9" s="9" t="s">
        <v>74</v>
      </c>
      <c r="C9" s="10">
        <v>43252</v>
      </c>
      <c r="D9" s="11">
        <v>62</v>
      </c>
      <c r="E9" s="12" t="s">
        <v>34</v>
      </c>
      <c r="F9" s="12" t="s">
        <v>35</v>
      </c>
      <c r="G9" s="12" t="s">
        <v>36</v>
      </c>
      <c r="H9" s="12" t="s">
        <v>37</v>
      </c>
      <c r="I9" s="11" t="s">
        <v>75</v>
      </c>
      <c r="J9" s="12" t="s">
        <v>76</v>
      </c>
      <c r="K9" s="13" t="s">
        <v>77</v>
      </c>
      <c r="L9" s="11" t="str">
        <f>"000065"</f>
        <v>000065</v>
      </c>
      <c r="M9" s="10">
        <v>42769</v>
      </c>
      <c r="N9" s="11" t="str">
        <f>"000130"</f>
        <v>000130</v>
      </c>
      <c r="O9" s="10">
        <v>42863</v>
      </c>
      <c r="P9" s="11" t="str">
        <f>"000160"</f>
        <v>000160</v>
      </c>
      <c r="Q9" s="10">
        <v>42886</v>
      </c>
      <c r="R9" s="11">
        <v>16</v>
      </c>
      <c r="S9" s="11" t="str">
        <f>"001943"</f>
        <v>001943</v>
      </c>
      <c r="T9" s="10">
        <v>43246</v>
      </c>
      <c r="U9" s="14">
        <v>9.7213999999999992</v>
      </c>
      <c r="V9" s="14">
        <v>0.86519999999999997</v>
      </c>
      <c r="W9" s="14">
        <v>8.8561999999999994</v>
      </c>
      <c r="X9" s="11">
        <v>64</v>
      </c>
      <c r="Y9" s="10">
        <v>43252</v>
      </c>
      <c r="Z9" s="11">
        <v>9865986598</v>
      </c>
      <c r="AA9" s="12" t="s">
        <v>78</v>
      </c>
      <c r="AB9" s="11" t="s">
        <v>79</v>
      </c>
      <c r="AC9" s="12" t="s">
        <v>80</v>
      </c>
      <c r="AD9" s="11" t="s">
        <v>44</v>
      </c>
      <c r="AE9" s="12" t="s">
        <v>45</v>
      </c>
      <c r="AF9" s="14">
        <v>9.7213999999999995E-2</v>
      </c>
      <c r="AG9" s="11" t="s">
        <v>46</v>
      </c>
    </row>
    <row r="10" spans="1:33" x14ac:dyDescent="0.2">
      <c r="A10" s="8">
        <v>1624</v>
      </c>
      <c r="B10" s="9" t="s">
        <v>74</v>
      </c>
      <c r="C10" s="10">
        <v>43252</v>
      </c>
      <c r="D10" s="11">
        <v>62</v>
      </c>
      <c r="E10" s="12" t="s">
        <v>34</v>
      </c>
      <c r="F10" s="12" t="s">
        <v>35</v>
      </c>
      <c r="G10" s="12" t="s">
        <v>36</v>
      </c>
      <c r="H10" s="12" t="s">
        <v>37</v>
      </c>
      <c r="I10" s="11" t="s">
        <v>81</v>
      </c>
      <c r="J10" s="12" t="s">
        <v>82</v>
      </c>
      <c r="K10" s="13" t="s">
        <v>77</v>
      </c>
      <c r="L10" s="11" t="str">
        <f>"000064"</f>
        <v>000064</v>
      </c>
      <c r="M10" s="10">
        <v>42769</v>
      </c>
      <c r="N10" s="11" t="str">
        <f>"000001"</f>
        <v>000001</v>
      </c>
      <c r="O10" s="10">
        <v>42825</v>
      </c>
      <c r="P10" s="11" t="str">
        <f>"000161"</f>
        <v>000161</v>
      </c>
      <c r="Q10" s="10">
        <v>42886</v>
      </c>
      <c r="R10" s="11">
        <v>16</v>
      </c>
      <c r="S10" s="11" t="str">
        <f>"001950"</f>
        <v>001950</v>
      </c>
      <c r="T10" s="10">
        <v>43246</v>
      </c>
      <c r="U10" s="14">
        <v>9.7230100000000004</v>
      </c>
      <c r="V10" s="14">
        <v>0.86724999999999997</v>
      </c>
      <c r="W10" s="14">
        <v>8.8557600000000001</v>
      </c>
      <c r="X10" s="11">
        <v>64</v>
      </c>
      <c r="Y10" s="10">
        <v>43252</v>
      </c>
      <c r="Z10" s="11">
        <v>9845659896</v>
      </c>
      <c r="AA10" s="12" t="s">
        <v>83</v>
      </c>
      <c r="AB10" s="11" t="s">
        <v>79</v>
      </c>
      <c r="AC10" s="12" t="s">
        <v>80</v>
      </c>
      <c r="AD10" s="11" t="s">
        <v>44</v>
      </c>
      <c r="AE10" s="12" t="s">
        <v>45</v>
      </c>
      <c r="AF10" s="14">
        <v>9.72301E-2</v>
      </c>
      <c r="AG10" s="11" t="s">
        <v>46</v>
      </c>
    </row>
    <row r="11" spans="1:33" x14ac:dyDescent="0.2">
      <c r="A11" s="8">
        <v>1723</v>
      </c>
      <c r="B11" s="9" t="s">
        <v>74</v>
      </c>
      <c r="C11" s="10">
        <v>43253</v>
      </c>
      <c r="D11" s="11">
        <v>62</v>
      </c>
      <c r="E11" s="12" t="s">
        <v>34</v>
      </c>
      <c r="F11" s="12" t="s">
        <v>35</v>
      </c>
      <c r="G11" s="12" t="s">
        <v>36</v>
      </c>
      <c r="H11" s="12" t="s">
        <v>37</v>
      </c>
      <c r="I11" s="11" t="s">
        <v>84</v>
      </c>
      <c r="J11" s="12" t="s">
        <v>85</v>
      </c>
      <c r="K11" s="13" t="s">
        <v>40</v>
      </c>
      <c r="L11" s="11" t="str">
        <f>"000216"</f>
        <v>000216</v>
      </c>
      <c r="M11" s="10">
        <v>43159</v>
      </c>
      <c r="N11" s="11" t="str">
        <f>"000060"</f>
        <v>000060</v>
      </c>
      <c r="O11" s="10">
        <v>43159</v>
      </c>
      <c r="P11" s="11" t="str">
        <f>"000269"</f>
        <v>000269</v>
      </c>
      <c r="Q11" s="10">
        <v>43159</v>
      </c>
      <c r="R11" s="11">
        <v>18</v>
      </c>
      <c r="S11" s="11" t="str">
        <f>"001790"</f>
        <v>001790</v>
      </c>
      <c r="T11" s="10">
        <v>43244</v>
      </c>
      <c r="U11" s="14">
        <v>16.85163</v>
      </c>
      <c r="V11" s="14">
        <v>2.0393500000000002</v>
      </c>
      <c r="W11" s="14">
        <v>14.812279999999999</v>
      </c>
      <c r="X11" s="11">
        <v>68</v>
      </c>
      <c r="Y11" s="10">
        <v>43253</v>
      </c>
      <c r="Z11" s="11">
        <v>8050030921</v>
      </c>
      <c r="AA11" s="12" t="s">
        <v>41</v>
      </c>
      <c r="AB11" s="11" t="s">
        <v>72</v>
      </c>
      <c r="AC11" s="12" t="s">
        <v>73</v>
      </c>
      <c r="AD11" s="11" t="s">
        <v>44</v>
      </c>
      <c r="AE11" s="12" t="s">
        <v>45</v>
      </c>
      <c r="AF11" s="14">
        <v>0.16851630000000001</v>
      </c>
      <c r="AG11" s="11" t="s">
        <v>46</v>
      </c>
    </row>
    <row r="12" spans="1:33" x14ac:dyDescent="0.2">
      <c r="A12" s="8">
        <v>1724</v>
      </c>
      <c r="B12" s="9" t="s">
        <v>74</v>
      </c>
      <c r="C12" s="10">
        <v>43253</v>
      </c>
      <c r="D12" s="11">
        <v>62</v>
      </c>
      <c r="E12" s="12" t="s">
        <v>34</v>
      </c>
      <c r="F12" s="12" t="s">
        <v>35</v>
      </c>
      <c r="G12" s="12" t="s">
        <v>36</v>
      </c>
      <c r="H12" s="12" t="s">
        <v>37</v>
      </c>
      <c r="I12" s="11" t="s">
        <v>86</v>
      </c>
      <c r="J12" s="12" t="s">
        <v>87</v>
      </c>
      <c r="K12" s="13" t="s">
        <v>40</v>
      </c>
      <c r="L12" s="11" t="str">
        <f>"000217"</f>
        <v>000217</v>
      </c>
      <c r="M12" s="10">
        <v>43159</v>
      </c>
      <c r="N12" s="11" t="str">
        <f>"000058"</f>
        <v>000058</v>
      </c>
      <c r="O12" s="10">
        <v>43159</v>
      </c>
      <c r="P12" s="11" t="str">
        <f>"000267"</f>
        <v>000267</v>
      </c>
      <c r="Q12" s="10">
        <v>43159</v>
      </c>
      <c r="R12" s="11">
        <v>18</v>
      </c>
      <c r="S12" s="11" t="str">
        <f>"001791"</f>
        <v>001791</v>
      </c>
      <c r="T12" s="10">
        <v>43244</v>
      </c>
      <c r="U12" s="14">
        <v>18.549959999999999</v>
      </c>
      <c r="V12" s="14">
        <v>2.246</v>
      </c>
      <c r="W12" s="14">
        <v>16.30396</v>
      </c>
      <c r="X12" s="11">
        <v>68</v>
      </c>
      <c r="Y12" s="10">
        <v>43253</v>
      </c>
      <c r="Z12" s="11">
        <v>8050030921</v>
      </c>
      <c r="AA12" s="12" t="s">
        <v>41</v>
      </c>
      <c r="AB12" s="11" t="s">
        <v>72</v>
      </c>
      <c r="AC12" s="12" t="s">
        <v>73</v>
      </c>
      <c r="AD12" s="11" t="s">
        <v>44</v>
      </c>
      <c r="AE12" s="12" t="s">
        <v>45</v>
      </c>
      <c r="AF12" s="14">
        <v>0.18549959999999999</v>
      </c>
      <c r="AG12" s="11" t="s">
        <v>46</v>
      </c>
    </row>
    <row r="13" spans="1:33" x14ac:dyDescent="0.2">
      <c r="A13" s="8">
        <v>2265</v>
      </c>
      <c r="B13" s="9" t="s">
        <v>74</v>
      </c>
      <c r="C13" s="10">
        <v>43269</v>
      </c>
      <c r="D13" s="11">
        <v>62</v>
      </c>
      <c r="E13" s="12" t="s">
        <v>34</v>
      </c>
      <c r="F13" s="12" t="s">
        <v>35</v>
      </c>
      <c r="G13" s="12" t="s">
        <v>36</v>
      </c>
      <c r="H13" s="12" t="s">
        <v>37</v>
      </c>
      <c r="I13" s="11" t="s">
        <v>88</v>
      </c>
      <c r="J13" s="12" t="s">
        <v>89</v>
      </c>
      <c r="K13" s="13" t="s">
        <v>40</v>
      </c>
      <c r="L13" s="11" t="str">
        <f>"000209"</f>
        <v>000209</v>
      </c>
      <c r="M13" s="10">
        <v>43159</v>
      </c>
      <c r="N13" s="11" t="str">
        <f>"000034"</f>
        <v>000034</v>
      </c>
      <c r="O13" s="10">
        <v>42916</v>
      </c>
      <c r="P13" s="11" t="str">
        <f>"000159"</f>
        <v>000159</v>
      </c>
      <c r="Q13" s="10">
        <v>42346</v>
      </c>
      <c r="R13" s="11">
        <v>14</v>
      </c>
      <c r="S13" s="11" t="str">
        <f>"002539"</f>
        <v>002539</v>
      </c>
      <c r="T13" s="10">
        <v>43264</v>
      </c>
      <c r="U13" s="14">
        <v>15.520569999999999</v>
      </c>
      <c r="V13" s="14">
        <v>1.1281000000000001</v>
      </c>
      <c r="W13" s="14">
        <v>14.392469999999999</v>
      </c>
      <c r="X13" s="11">
        <v>89</v>
      </c>
      <c r="Y13" s="10">
        <v>43269</v>
      </c>
      <c r="Z13" s="11">
        <v>9448456767</v>
      </c>
      <c r="AA13" s="12" t="s">
        <v>90</v>
      </c>
      <c r="AB13" s="11" t="s">
        <v>51</v>
      </c>
      <c r="AC13" s="12" t="s">
        <v>52</v>
      </c>
      <c r="AD13" s="11" t="s">
        <v>44</v>
      </c>
      <c r="AE13" s="12" t="s">
        <v>45</v>
      </c>
      <c r="AF13" s="14">
        <v>0.1552057</v>
      </c>
      <c r="AG13" s="11" t="s">
        <v>46</v>
      </c>
    </row>
    <row r="14" spans="1:33" x14ac:dyDescent="0.2">
      <c r="A14" s="8">
        <v>2266</v>
      </c>
      <c r="B14" s="9" t="s">
        <v>74</v>
      </c>
      <c r="C14" s="10">
        <v>43269</v>
      </c>
      <c r="D14" s="11">
        <v>62</v>
      </c>
      <c r="E14" s="12" t="s">
        <v>34</v>
      </c>
      <c r="F14" s="12" t="s">
        <v>35</v>
      </c>
      <c r="G14" s="12" t="s">
        <v>36</v>
      </c>
      <c r="H14" s="12" t="s">
        <v>37</v>
      </c>
      <c r="I14" s="11" t="s">
        <v>91</v>
      </c>
      <c r="J14" s="12" t="s">
        <v>92</v>
      </c>
      <c r="K14" s="13" t="s">
        <v>40</v>
      </c>
      <c r="L14" s="11" t="str">
        <f>"000208"</f>
        <v>000208</v>
      </c>
      <c r="M14" s="10">
        <v>43159</v>
      </c>
      <c r="N14" s="11" t="str">
        <f>"000035"</f>
        <v>000035</v>
      </c>
      <c r="O14" s="10">
        <v>42916</v>
      </c>
      <c r="P14" s="11" t="str">
        <f>"000160"</f>
        <v>000160</v>
      </c>
      <c r="Q14" s="10">
        <v>42346</v>
      </c>
      <c r="R14" s="11">
        <v>14</v>
      </c>
      <c r="S14" s="11" t="str">
        <f>"002540"</f>
        <v>002540</v>
      </c>
      <c r="T14" s="10">
        <v>43264</v>
      </c>
      <c r="U14" s="14">
        <v>15.048400000000001</v>
      </c>
      <c r="V14" s="14">
        <v>1.0949500000000001</v>
      </c>
      <c r="W14" s="14">
        <v>13.95345</v>
      </c>
      <c r="X14" s="11">
        <v>89</v>
      </c>
      <c r="Y14" s="10">
        <v>43269</v>
      </c>
      <c r="Z14" s="11">
        <v>9448456767</v>
      </c>
      <c r="AA14" s="12" t="s">
        <v>93</v>
      </c>
      <c r="AB14" s="11" t="s">
        <v>51</v>
      </c>
      <c r="AC14" s="12" t="s">
        <v>52</v>
      </c>
      <c r="AD14" s="11" t="s">
        <v>44</v>
      </c>
      <c r="AE14" s="12" t="s">
        <v>45</v>
      </c>
      <c r="AF14" s="14">
        <v>0.15048400000000001</v>
      </c>
      <c r="AG14" s="11" t="s">
        <v>46</v>
      </c>
    </row>
    <row r="15" spans="1:33" x14ac:dyDescent="0.2">
      <c r="A15" s="8">
        <v>2530</v>
      </c>
      <c r="B15" s="9" t="s">
        <v>74</v>
      </c>
      <c r="C15" s="10">
        <v>43274</v>
      </c>
      <c r="D15" s="11">
        <v>62</v>
      </c>
      <c r="E15" s="12" t="s">
        <v>34</v>
      </c>
      <c r="F15" s="12" t="s">
        <v>35</v>
      </c>
      <c r="G15" s="12" t="s">
        <v>36</v>
      </c>
      <c r="H15" s="12" t="s">
        <v>37</v>
      </c>
      <c r="I15" s="11" t="s">
        <v>94</v>
      </c>
      <c r="J15" s="12" t="s">
        <v>95</v>
      </c>
      <c r="K15" s="13" t="s">
        <v>55</v>
      </c>
      <c r="L15" s="11" t="str">
        <f>"000047"</f>
        <v>000047</v>
      </c>
      <c r="M15" s="10">
        <v>42609</v>
      </c>
      <c r="N15" s="11" t="str">
        <f>"000071"</f>
        <v>000071</v>
      </c>
      <c r="O15" s="10">
        <v>42629</v>
      </c>
      <c r="P15" s="11" t="str">
        <f>"000175"</f>
        <v>000175</v>
      </c>
      <c r="Q15" s="10">
        <v>42642</v>
      </c>
      <c r="R15" s="11">
        <v>16</v>
      </c>
      <c r="S15" s="11" t="str">
        <f>"002853"</f>
        <v>002853</v>
      </c>
      <c r="T15" s="10">
        <v>43273</v>
      </c>
      <c r="U15" s="14">
        <v>9.8758199999999992</v>
      </c>
      <c r="V15" s="14">
        <v>1.1818500000000001</v>
      </c>
      <c r="W15" s="14">
        <v>8.6939700000000002</v>
      </c>
      <c r="X15" s="11">
        <v>99</v>
      </c>
      <c r="Y15" s="10">
        <v>43274</v>
      </c>
      <c r="Z15" s="11">
        <v>9448367127</v>
      </c>
      <c r="AA15" s="12" t="s">
        <v>96</v>
      </c>
      <c r="AB15" s="11" t="s">
        <v>51</v>
      </c>
      <c r="AC15" s="12" t="s">
        <v>52</v>
      </c>
      <c r="AD15" s="11" t="s">
        <v>44</v>
      </c>
      <c r="AE15" s="12" t="s">
        <v>45</v>
      </c>
      <c r="AF15" s="14">
        <v>9.875819999999999E-2</v>
      </c>
      <c r="AG15" s="11" t="s">
        <v>46</v>
      </c>
    </row>
    <row r="16" spans="1:33" x14ac:dyDescent="0.2">
      <c r="A16" s="8">
        <v>2644</v>
      </c>
      <c r="B16" s="9" t="s">
        <v>74</v>
      </c>
      <c r="C16" s="10">
        <v>43276</v>
      </c>
      <c r="D16" s="11">
        <v>62</v>
      </c>
      <c r="E16" s="12" t="s">
        <v>34</v>
      </c>
      <c r="F16" s="12" t="s">
        <v>35</v>
      </c>
      <c r="G16" s="12" t="s">
        <v>36</v>
      </c>
      <c r="H16" s="12" t="s">
        <v>37</v>
      </c>
      <c r="I16" s="11" t="s">
        <v>97</v>
      </c>
      <c r="J16" s="12" t="s">
        <v>98</v>
      </c>
      <c r="K16" s="13" t="s">
        <v>40</v>
      </c>
      <c r="L16" s="11" t="str">
        <f>"000129"</f>
        <v>000129</v>
      </c>
      <c r="M16" s="10">
        <v>43004</v>
      </c>
      <c r="N16" s="11" t="str">
        <f>"000056"</f>
        <v>000056</v>
      </c>
      <c r="O16" s="10">
        <v>43157</v>
      </c>
      <c r="P16" s="11" t="str">
        <f>"000271"</f>
        <v>000271</v>
      </c>
      <c r="Q16" s="10">
        <v>43160</v>
      </c>
      <c r="R16" s="11">
        <v>17</v>
      </c>
      <c r="S16" s="11" t="str">
        <f>"002660"</f>
        <v>002660</v>
      </c>
      <c r="T16" s="10">
        <v>43269</v>
      </c>
      <c r="U16" s="14">
        <v>20.962910000000001</v>
      </c>
      <c r="V16" s="14">
        <v>1.06925</v>
      </c>
      <c r="W16" s="14">
        <v>19.893660000000001</v>
      </c>
      <c r="X16" s="11">
        <v>100</v>
      </c>
      <c r="Y16" s="10">
        <v>43276</v>
      </c>
      <c r="Z16" s="11">
        <v>9686538999</v>
      </c>
      <c r="AA16" s="12" t="s">
        <v>99</v>
      </c>
      <c r="AB16" s="11" t="s">
        <v>100</v>
      </c>
      <c r="AC16" s="12" t="s">
        <v>101</v>
      </c>
      <c r="AD16" s="11" t="s">
        <v>44</v>
      </c>
      <c r="AE16" s="12" t="s">
        <v>45</v>
      </c>
      <c r="AF16" s="14">
        <v>0.20962910000000001</v>
      </c>
      <c r="AG16" s="11" t="s">
        <v>46</v>
      </c>
    </row>
    <row r="17" spans="1:33" x14ac:dyDescent="0.2">
      <c r="A17" s="8">
        <v>2645</v>
      </c>
      <c r="B17" s="9" t="s">
        <v>74</v>
      </c>
      <c r="C17" s="10">
        <v>43276</v>
      </c>
      <c r="D17" s="11">
        <v>62</v>
      </c>
      <c r="E17" s="12" t="s">
        <v>34</v>
      </c>
      <c r="F17" s="12" t="s">
        <v>35</v>
      </c>
      <c r="G17" s="12" t="s">
        <v>36</v>
      </c>
      <c r="H17" s="12" t="s">
        <v>37</v>
      </c>
      <c r="I17" s="11" t="s">
        <v>102</v>
      </c>
      <c r="J17" s="12" t="s">
        <v>103</v>
      </c>
      <c r="K17" s="13" t="s">
        <v>40</v>
      </c>
      <c r="L17" s="11" t="str">
        <f>"000133"</f>
        <v>000133</v>
      </c>
      <c r="M17" s="10">
        <v>43004</v>
      </c>
      <c r="N17" s="11" t="str">
        <f>"000066"</f>
        <v>000066</v>
      </c>
      <c r="O17" s="10">
        <v>43170</v>
      </c>
      <c r="P17" s="11" t="str">
        <f>"000282"</f>
        <v>000282</v>
      </c>
      <c r="Q17" s="10">
        <v>43174</v>
      </c>
      <c r="R17" s="11">
        <v>17</v>
      </c>
      <c r="S17" s="11" t="str">
        <f>"002661"</f>
        <v>002661</v>
      </c>
      <c r="T17" s="10">
        <v>43269</v>
      </c>
      <c r="U17" s="14">
        <v>20.963239999999999</v>
      </c>
      <c r="V17" s="14">
        <v>1.0694999999999999</v>
      </c>
      <c r="W17" s="14">
        <v>19.893740000000001</v>
      </c>
      <c r="X17" s="11">
        <v>100</v>
      </c>
      <c r="Y17" s="10">
        <v>43276</v>
      </c>
      <c r="Z17" s="11">
        <v>9686538999</v>
      </c>
      <c r="AA17" s="12" t="s">
        <v>104</v>
      </c>
      <c r="AB17" s="11" t="s">
        <v>100</v>
      </c>
      <c r="AC17" s="12" t="s">
        <v>101</v>
      </c>
      <c r="AD17" s="11" t="s">
        <v>44</v>
      </c>
      <c r="AE17" s="12" t="s">
        <v>45</v>
      </c>
      <c r="AF17" s="14">
        <v>0.2096324</v>
      </c>
      <c r="AG17" s="11" t="s">
        <v>46</v>
      </c>
    </row>
    <row r="18" spans="1:33" x14ac:dyDescent="0.2">
      <c r="A18" s="8">
        <v>2646</v>
      </c>
      <c r="B18" s="9" t="s">
        <v>74</v>
      </c>
      <c r="C18" s="10">
        <v>43276</v>
      </c>
      <c r="D18" s="11">
        <v>62</v>
      </c>
      <c r="E18" s="12" t="s">
        <v>34</v>
      </c>
      <c r="F18" s="12" t="s">
        <v>35</v>
      </c>
      <c r="G18" s="12" t="s">
        <v>36</v>
      </c>
      <c r="H18" s="12" t="s">
        <v>37</v>
      </c>
      <c r="I18" s="11" t="s">
        <v>105</v>
      </c>
      <c r="J18" s="12" t="s">
        <v>106</v>
      </c>
      <c r="K18" s="13" t="s">
        <v>49</v>
      </c>
      <c r="L18" s="11" t="str">
        <f>"000131"</f>
        <v>000131</v>
      </c>
      <c r="M18" s="10">
        <v>43004</v>
      </c>
      <c r="N18" s="11" t="str">
        <f>"000057"</f>
        <v>000057</v>
      </c>
      <c r="O18" s="10">
        <v>43157</v>
      </c>
      <c r="P18" s="11" t="str">
        <f>"000270"</f>
        <v>000270</v>
      </c>
      <c r="Q18" s="10">
        <v>43160</v>
      </c>
      <c r="R18" s="11">
        <v>17</v>
      </c>
      <c r="S18" s="11" t="str">
        <f>"002662"</f>
        <v>002662</v>
      </c>
      <c r="T18" s="10">
        <v>43269</v>
      </c>
      <c r="U18" s="14">
        <v>10.442170000000001</v>
      </c>
      <c r="V18" s="14">
        <v>0.53325</v>
      </c>
      <c r="W18" s="14">
        <v>9.9089200000000002</v>
      </c>
      <c r="X18" s="11">
        <v>100</v>
      </c>
      <c r="Y18" s="10">
        <v>43276</v>
      </c>
      <c r="Z18" s="11">
        <v>9686538999</v>
      </c>
      <c r="AA18" s="12" t="s">
        <v>107</v>
      </c>
      <c r="AB18" s="11" t="s">
        <v>100</v>
      </c>
      <c r="AC18" s="12" t="s">
        <v>101</v>
      </c>
      <c r="AD18" s="11" t="s">
        <v>44</v>
      </c>
      <c r="AE18" s="12" t="s">
        <v>45</v>
      </c>
      <c r="AF18" s="14">
        <v>0.10442170000000001</v>
      </c>
      <c r="AG18" s="11" t="s">
        <v>46</v>
      </c>
    </row>
    <row r="19" spans="1:33" x14ac:dyDescent="0.2">
      <c r="A19" s="8">
        <v>2647</v>
      </c>
      <c r="B19" s="9" t="s">
        <v>74</v>
      </c>
      <c r="C19" s="10">
        <v>43276</v>
      </c>
      <c r="D19" s="11">
        <v>62</v>
      </c>
      <c r="E19" s="12" t="s">
        <v>34</v>
      </c>
      <c r="F19" s="12" t="s">
        <v>35</v>
      </c>
      <c r="G19" s="12" t="s">
        <v>36</v>
      </c>
      <c r="H19" s="12" t="s">
        <v>37</v>
      </c>
      <c r="I19" s="11" t="s">
        <v>108</v>
      </c>
      <c r="J19" s="12" t="s">
        <v>109</v>
      </c>
      <c r="K19" s="13" t="s">
        <v>40</v>
      </c>
      <c r="L19" s="11" t="str">
        <f>"000063"</f>
        <v>000063</v>
      </c>
      <c r="M19" s="10">
        <v>42992</v>
      </c>
      <c r="N19" s="11" t="str">
        <f>"000146"</f>
        <v>000146</v>
      </c>
      <c r="O19" s="10">
        <v>42916</v>
      </c>
      <c r="P19" s="11" t="str">
        <f>"000177"</f>
        <v>000177</v>
      </c>
      <c r="Q19" s="10">
        <v>42915</v>
      </c>
      <c r="R19" s="11">
        <v>17</v>
      </c>
      <c r="S19" s="11" t="str">
        <f>"002663"</f>
        <v>002663</v>
      </c>
      <c r="T19" s="10">
        <v>43269</v>
      </c>
      <c r="U19" s="14">
        <v>20.76596</v>
      </c>
      <c r="V19" s="14">
        <v>1.3371</v>
      </c>
      <c r="W19" s="14">
        <v>19.42886</v>
      </c>
      <c r="X19" s="11">
        <v>100</v>
      </c>
      <c r="Y19" s="10">
        <v>43276</v>
      </c>
      <c r="Z19" s="11">
        <v>9686538999</v>
      </c>
      <c r="AA19" s="12" t="s">
        <v>104</v>
      </c>
      <c r="AB19" s="11" t="s">
        <v>100</v>
      </c>
      <c r="AC19" s="12" t="s">
        <v>101</v>
      </c>
      <c r="AD19" s="11" t="s">
        <v>44</v>
      </c>
      <c r="AE19" s="12" t="s">
        <v>45</v>
      </c>
      <c r="AF19" s="14">
        <v>0.2076596</v>
      </c>
      <c r="AG19" s="11" t="s">
        <v>46</v>
      </c>
    </row>
    <row r="20" spans="1:33" x14ac:dyDescent="0.2">
      <c r="A20" s="8">
        <v>2648</v>
      </c>
      <c r="B20" s="9" t="s">
        <v>74</v>
      </c>
      <c r="C20" s="10">
        <v>43276</v>
      </c>
      <c r="D20" s="11">
        <v>62</v>
      </c>
      <c r="E20" s="12" t="s">
        <v>34</v>
      </c>
      <c r="F20" s="12" t="s">
        <v>35</v>
      </c>
      <c r="G20" s="12" t="s">
        <v>36</v>
      </c>
      <c r="H20" s="12" t="s">
        <v>37</v>
      </c>
      <c r="I20" s="11" t="s">
        <v>110</v>
      </c>
      <c r="J20" s="12" t="s">
        <v>111</v>
      </c>
      <c r="K20" s="13" t="s">
        <v>40</v>
      </c>
      <c r="L20" s="11" t="str">
        <f>"000136"</f>
        <v>000136</v>
      </c>
      <c r="M20" s="10">
        <v>43004</v>
      </c>
      <c r="N20" s="11" t="str">
        <f>"000158"</f>
        <v>000158</v>
      </c>
      <c r="O20" s="10">
        <v>42915</v>
      </c>
      <c r="P20" s="11" t="str">
        <f>"000188"</f>
        <v>000188</v>
      </c>
      <c r="Q20" s="10">
        <v>42915</v>
      </c>
      <c r="R20" s="11">
        <v>17</v>
      </c>
      <c r="S20" s="11" t="str">
        <f>"002664"</f>
        <v>002664</v>
      </c>
      <c r="T20" s="10">
        <v>43269</v>
      </c>
      <c r="U20" s="14">
        <v>20.912980000000001</v>
      </c>
      <c r="V20" s="14">
        <v>1.4850000000000001</v>
      </c>
      <c r="W20" s="14">
        <v>19.427980000000002</v>
      </c>
      <c r="X20" s="11">
        <v>100</v>
      </c>
      <c r="Y20" s="10">
        <v>43276</v>
      </c>
      <c r="Z20" s="11">
        <v>9686538999</v>
      </c>
      <c r="AA20" s="12" t="s">
        <v>104</v>
      </c>
      <c r="AB20" s="11" t="s">
        <v>100</v>
      </c>
      <c r="AC20" s="12" t="s">
        <v>101</v>
      </c>
      <c r="AD20" s="11" t="s">
        <v>44</v>
      </c>
      <c r="AE20" s="12" t="s">
        <v>45</v>
      </c>
      <c r="AF20" s="14">
        <v>0.2091298</v>
      </c>
      <c r="AG20" s="11" t="s">
        <v>46</v>
      </c>
    </row>
    <row r="21" spans="1:33" x14ac:dyDescent="0.2">
      <c r="A21" s="8">
        <v>2701</v>
      </c>
      <c r="B21" s="9" t="s">
        <v>74</v>
      </c>
      <c r="C21" s="10">
        <v>43278</v>
      </c>
      <c r="D21" s="11">
        <v>62</v>
      </c>
      <c r="E21" s="12" t="s">
        <v>34</v>
      </c>
      <c r="F21" s="12" t="s">
        <v>35</v>
      </c>
      <c r="G21" s="12" t="s">
        <v>36</v>
      </c>
      <c r="H21" s="12" t="s">
        <v>37</v>
      </c>
      <c r="I21" s="11" t="s">
        <v>53</v>
      </c>
      <c r="J21" s="12" t="s">
        <v>54</v>
      </c>
      <c r="K21" s="13" t="s">
        <v>55</v>
      </c>
      <c r="L21" s="11" t="str">
        <f>"000151"</f>
        <v>000151</v>
      </c>
      <c r="M21" s="10">
        <v>43038</v>
      </c>
      <c r="N21" s="11" t="str">
        <f>"000012"</f>
        <v>000012</v>
      </c>
      <c r="O21" s="10">
        <v>43283</v>
      </c>
      <c r="P21" s="11" t="str">
        <f>"000036"</f>
        <v>000036</v>
      </c>
      <c r="Q21" s="10">
        <v>43283</v>
      </c>
      <c r="R21" s="11">
        <v>17</v>
      </c>
      <c r="S21" s="11" t="str">
        <f>""</f>
        <v/>
      </c>
      <c r="T21" s="10"/>
      <c r="U21" s="14">
        <v>1.0548299999999999</v>
      </c>
      <c r="V21" s="14">
        <v>2.2249999999999999E-2</v>
      </c>
      <c r="W21" s="14">
        <v>1.0325800000000001</v>
      </c>
      <c r="X21" s="11">
        <v>102</v>
      </c>
      <c r="Y21" s="10">
        <v>43278</v>
      </c>
      <c r="Z21" s="11">
        <v>9448049099</v>
      </c>
      <c r="AA21" s="12" t="s">
        <v>56</v>
      </c>
      <c r="AB21" s="11" t="s">
        <v>57</v>
      </c>
      <c r="AC21" s="12" t="s">
        <v>58</v>
      </c>
      <c r="AD21" s="11" t="s">
        <v>44</v>
      </c>
      <c r="AE21" s="12" t="s">
        <v>45</v>
      </c>
      <c r="AF21" s="14">
        <v>1.05483E-2</v>
      </c>
      <c r="AG21" s="11" t="s">
        <v>59</v>
      </c>
    </row>
    <row r="22" spans="1:33" x14ac:dyDescent="0.2">
      <c r="A22" s="8">
        <v>2702</v>
      </c>
      <c r="B22" s="9" t="s">
        <v>74</v>
      </c>
      <c r="C22" s="10">
        <v>43278</v>
      </c>
      <c r="D22" s="11">
        <v>62</v>
      </c>
      <c r="E22" s="12" t="s">
        <v>34</v>
      </c>
      <c r="F22" s="12" t="s">
        <v>35</v>
      </c>
      <c r="G22" s="12" t="s">
        <v>36</v>
      </c>
      <c r="H22" s="12" t="s">
        <v>37</v>
      </c>
      <c r="I22" s="11" t="s">
        <v>53</v>
      </c>
      <c r="J22" s="12" t="s">
        <v>54</v>
      </c>
      <c r="K22" s="13" t="s">
        <v>55</v>
      </c>
      <c r="L22" s="11" t="str">
        <f>"000151"</f>
        <v>000151</v>
      </c>
      <c r="M22" s="10">
        <v>43038</v>
      </c>
      <c r="N22" s="11" t="str">
        <f>"000012"</f>
        <v>000012</v>
      </c>
      <c r="O22" s="10">
        <v>43283</v>
      </c>
      <c r="P22" s="11" t="str">
        <f>"000036"</f>
        <v>000036</v>
      </c>
      <c r="Q22" s="10">
        <v>43283</v>
      </c>
      <c r="R22" s="11">
        <v>17</v>
      </c>
      <c r="S22" s="11" t="str">
        <f>""</f>
        <v/>
      </c>
      <c r="T22" s="10"/>
      <c r="U22" s="14">
        <v>1.06507</v>
      </c>
      <c r="V22" s="14">
        <v>2.24E-2</v>
      </c>
      <c r="W22" s="14">
        <v>1.04267</v>
      </c>
      <c r="X22" s="11">
        <v>102</v>
      </c>
      <c r="Y22" s="10">
        <v>43278</v>
      </c>
      <c r="Z22" s="11">
        <v>9448049099</v>
      </c>
      <c r="AA22" s="12" t="s">
        <v>56</v>
      </c>
      <c r="AB22" s="11" t="s">
        <v>57</v>
      </c>
      <c r="AC22" s="12" t="s">
        <v>58</v>
      </c>
      <c r="AD22" s="11" t="s">
        <v>44</v>
      </c>
      <c r="AE22" s="12" t="s">
        <v>45</v>
      </c>
      <c r="AF22" s="14">
        <v>1.0650699999999999E-2</v>
      </c>
      <c r="AG22" s="11" t="s">
        <v>59</v>
      </c>
    </row>
    <row r="23" spans="1:33" x14ac:dyDescent="0.2">
      <c r="A23" s="8">
        <v>2838</v>
      </c>
      <c r="B23" s="9" t="s">
        <v>112</v>
      </c>
      <c r="C23" s="10">
        <v>43283</v>
      </c>
      <c r="D23" s="11">
        <v>62</v>
      </c>
      <c r="E23" s="12" t="s">
        <v>34</v>
      </c>
      <c r="F23" s="12" t="s">
        <v>35</v>
      </c>
      <c r="G23" s="12" t="s">
        <v>36</v>
      </c>
      <c r="H23" s="12" t="s">
        <v>37</v>
      </c>
      <c r="I23" s="11" t="s">
        <v>113</v>
      </c>
      <c r="J23" s="12" t="s">
        <v>114</v>
      </c>
      <c r="K23" s="13" t="s">
        <v>40</v>
      </c>
      <c r="L23" s="11" t="str">
        <f>"000075"</f>
        <v>000075</v>
      </c>
      <c r="M23" s="10">
        <v>42803</v>
      </c>
      <c r="N23" s="11" t="str">
        <f>"000111"</f>
        <v>000111</v>
      </c>
      <c r="O23" s="10">
        <v>42853</v>
      </c>
      <c r="P23" s="11" t="str">
        <f>"000003"</f>
        <v>000003</v>
      </c>
      <c r="Q23" s="10">
        <v>42853</v>
      </c>
      <c r="R23" s="11">
        <v>17</v>
      </c>
      <c r="S23" s="11" t="str">
        <f>"002938"</f>
        <v>002938</v>
      </c>
      <c r="T23" s="10">
        <v>43276</v>
      </c>
      <c r="U23" s="14">
        <v>19.776399999999999</v>
      </c>
      <c r="V23" s="14">
        <v>2.5911</v>
      </c>
      <c r="W23" s="14">
        <v>17.185300000000002</v>
      </c>
      <c r="X23" s="11">
        <v>108</v>
      </c>
      <c r="Y23" s="10">
        <v>43283</v>
      </c>
      <c r="Z23" s="11">
        <v>9845659856</v>
      </c>
      <c r="AA23" s="12" t="s">
        <v>115</v>
      </c>
      <c r="AB23" s="11" t="s">
        <v>51</v>
      </c>
      <c r="AC23" s="12" t="s">
        <v>52</v>
      </c>
      <c r="AD23" s="11" t="s">
        <v>44</v>
      </c>
      <c r="AE23" s="12" t="s">
        <v>45</v>
      </c>
      <c r="AF23" s="14">
        <v>0.197764</v>
      </c>
      <c r="AG23" s="11" t="s">
        <v>46</v>
      </c>
    </row>
    <row r="24" spans="1:33" x14ac:dyDescent="0.2">
      <c r="A24" s="8">
        <v>2990</v>
      </c>
      <c r="B24" s="9" t="s">
        <v>112</v>
      </c>
      <c r="C24" s="10">
        <v>43284</v>
      </c>
      <c r="D24" s="11">
        <v>62</v>
      </c>
      <c r="E24" s="12" t="s">
        <v>34</v>
      </c>
      <c r="F24" s="12" t="s">
        <v>35</v>
      </c>
      <c r="G24" s="12" t="s">
        <v>36</v>
      </c>
      <c r="H24" s="12" t="s">
        <v>37</v>
      </c>
      <c r="I24" s="11" t="s">
        <v>116</v>
      </c>
      <c r="J24" s="12" t="s">
        <v>117</v>
      </c>
      <c r="K24" s="13" t="s">
        <v>49</v>
      </c>
      <c r="L24" s="11" t="str">
        <f>"000241"</f>
        <v>000241</v>
      </c>
      <c r="M24" s="10">
        <v>43262</v>
      </c>
      <c r="N24" s="11" t="str">
        <f>"000005"</f>
        <v>000005</v>
      </c>
      <c r="O24" s="10">
        <v>43262</v>
      </c>
      <c r="P24" s="11" t="str">
        <f>"000024"</f>
        <v>000024</v>
      </c>
      <c r="Q24" s="10">
        <v>43263</v>
      </c>
      <c r="R24" s="11">
        <v>18</v>
      </c>
      <c r="S24" s="11" t="str">
        <f>"002815"</f>
        <v>002815</v>
      </c>
      <c r="T24" s="10">
        <v>43271</v>
      </c>
      <c r="U24" s="14">
        <v>39.99259</v>
      </c>
      <c r="V24" s="14">
        <v>4.2894500000000004</v>
      </c>
      <c r="W24" s="14">
        <v>35.703139999999998</v>
      </c>
      <c r="X24" s="11">
        <v>110</v>
      </c>
      <c r="Y24" s="10">
        <v>43284</v>
      </c>
      <c r="Z24" s="11">
        <v>9845612326</v>
      </c>
      <c r="AA24" s="12" t="s">
        <v>41</v>
      </c>
      <c r="AB24" s="11" t="s">
        <v>72</v>
      </c>
      <c r="AC24" s="12" t="s">
        <v>73</v>
      </c>
      <c r="AD24" s="11" t="s">
        <v>44</v>
      </c>
      <c r="AE24" s="12" t="s">
        <v>45</v>
      </c>
      <c r="AF24" s="14">
        <v>0.3999259</v>
      </c>
      <c r="AG24" s="11" t="s">
        <v>118</v>
      </c>
    </row>
    <row r="25" spans="1:33" x14ac:dyDescent="0.2">
      <c r="A25" s="8">
        <v>2991</v>
      </c>
      <c r="B25" s="9" t="s">
        <v>112</v>
      </c>
      <c r="C25" s="10">
        <v>43284</v>
      </c>
      <c r="D25" s="11">
        <v>62</v>
      </c>
      <c r="E25" s="12" t="s">
        <v>34</v>
      </c>
      <c r="F25" s="12" t="s">
        <v>35</v>
      </c>
      <c r="G25" s="12" t="s">
        <v>36</v>
      </c>
      <c r="H25" s="12" t="s">
        <v>37</v>
      </c>
      <c r="I25" s="11" t="s">
        <v>119</v>
      </c>
      <c r="J25" s="12" t="s">
        <v>120</v>
      </c>
      <c r="K25" s="13" t="s">
        <v>49</v>
      </c>
      <c r="L25" s="11" t="str">
        <f>"000242"</f>
        <v>000242</v>
      </c>
      <c r="M25" s="10">
        <v>43262</v>
      </c>
      <c r="N25" s="11" t="str">
        <f>"000006"</f>
        <v>000006</v>
      </c>
      <c r="O25" s="10">
        <v>43262</v>
      </c>
      <c r="P25" s="11" t="str">
        <f>"000025"</f>
        <v>000025</v>
      </c>
      <c r="Q25" s="10">
        <v>43263</v>
      </c>
      <c r="R25" s="11">
        <v>18</v>
      </c>
      <c r="S25" s="11" t="str">
        <f>"002816"</f>
        <v>002816</v>
      </c>
      <c r="T25" s="10">
        <v>43271</v>
      </c>
      <c r="U25" s="14">
        <v>39.85313</v>
      </c>
      <c r="V25" s="14">
        <v>4.2917500000000004</v>
      </c>
      <c r="W25" s="14">
        <v>35.56138</v>
      </c>
      <c r="X25" s="11">
        <v>110</v>
      </c>
      <c r="Y25" s="10">
        <v>43284</v>
      </c>
      <c r="Z25" s="11">
        <v>9865302323</v>
      </c>
      <c r="AA25" s="12" t="s">
        <v>41</v>
      </c>
      <c r="AB25" s="11" t="s">
        <v>72</v>
      </c>
      <c r="AC25" s="12" t="s">
        <v>73</v>
      </c>
      <c r="AD25" s="11" t="s">
        <v>44</v>
      </c>
      <c r="AE25" s="12" t="s">
        <v>45</v>
      </c>
      <c r="AF25" s="14">
        <v>0.39853129999999998</v>
      </c>
      <c r="AG25" s="11" t="s">
        <v>118</v>
      </c>
    </row>
    <row r="26" spans="1:33" x14ac:dyDescent="0.2">
      <c r="A26" s="8">
        <v>3059</v>
      </c>
      <c r="B26" s="9" t="s">
        <v>112</v>
      </c>
      <c r="C26" s="10">
        <v>43287</v>
      </c>
      <c r="D26" s="11">
        <v>62</v>
      </c>
      <c r="E26" s="12" t="s">
        <v>34</v>
      </c>
      <c r="F26" s="12" t="s">
        <v>35</v>
      </c>
      <c r="G26" s="12" t="s">
        <v>36</v>
      </c>
      <c r="H26" s="12" t="s">
        <v>37</v>
      </c>
      <c r="I26" s="11" t="s">
        <v>121</v>
      </c>
      <c r="J26" s="12" t="s">
        <v>122</v>
      </c>
      <c r="K26" s="13" t="s">
        <v>40</v>
      </c>
      <c r="L26" s="11" t="str">
        <f>"000225"</f>
        <v>000225</v>
      </c>
      <c r="M26" s="10">
        <v>42044</v>
      </c>
      <c r="N26" s="11" t="str">
        <f>"000012"</f>
        <v>000012</v>
      </c>
      <c r="O26" s="10">
        <v>42460</v>
      </c>
      <c r="P26" s="11" t="str">
        <f>"000087"</f>
        <v>000087</v>
      </c>
      <c r="Q26" s="10">
        <v>42563</v>
      </c>
      <c r="R26" s="11">
        <v>14</v>
      </c>
      <c r="S26" s="11" t="str">
        <f>"003270"</f>
        <v>003270</v>
      </c>
      <c r="T26" s="10">
        <v>43283</v>
      </c>
      <c r="U26" s="14">
        <v>72.40307</v>
      </c>
      <c r="V26" s="14">
        <v>9.9954000000000001</v>
      </c>
      <c r="W26" s="14">
        <v>62.407670000000003</v>
      </c>
      <c r="X26" s="11">
        <v>113</v>
      </c>
      <c r="Y26" s="10">
        <v>43287</v>
      </c>
      <c r="Z26" s="11">
        <v>9986492284</v>
      </c>
      <c r="AA26" s="12" t="s">
        <v>41</v>
      </c>
      <c r="AB26" s="11" t="s">
        <v>42</v>
      </c>
      <c r="AC26" s="12" t="s">
        <v>43</v>
      </c>
      <c r="AD26" s="11" t="s">
        <v>44</v>
      </c>
      <c r="AE26" s="12" t="s">
        <v>45</v>
      </c>
      <c r="AF26" s="14">
        <v>0.72403070000000003</v>
      </c>
      <c r="AG26" s="11" t="s">
        <v>46</v>
      </c>
    </row>
    <row r="27" spans="1:33" x14ac:dyDescent="0.2">
      <c r="A27" s="8">
        <v>3060</v>
      </c>
      <c r="B27" s="9" t="s">
        <v>112</v>
      </c>
      <c r="C27" s="10">
        <v>43287</v>
      </c>
      <c r="D27" s="11">
        <v>62</v>
      </c>
      <c r="E27" s="12" t="s">
        <v>34</v>
      </c>
      <c r="F27" s="12" t="s">
        <v>35</v>
      </c>
      <c r="G27" s="12" t="s">
        <v>36</v>
      </c>
      <c r="H27" s="12" t="s">
        <v>37</v>
      </c>
      <c r="I27" s="11" t="s">
        <v>123</v>
      </c>
      <c r="J27" s="12" t="s">
        <v>124</v>
      </c>
      <c r="K27" s="13" t="s">
        <v>125</v>
      </c>
      <c r="L27" s="11" t="str">
        <f>"000243"</f>
        <v>000243</v>
      </c>
      <c r="M27" s="10">
        <v>43262</v>
      </c>
      <c r="N27" s="11" t="str">
        <f>"000088"</f>
        <v>000088</v>
      </c>
      <c r="O27" s="10">
        <v>43190</v>
      </c>
      <c r="P27" s="11" t="str">
        <f>"000028"</f>
        <v>000028</v>
      </c>
      <c r="Q27" s="10">
        <v>43263</v>
      </c>
      <c r="R27" s="11">
        <v>18</v>
      </c>
      <c r="S27" s="11" t="str">
        <f>"003354"</f>
        <v>003354</v>
      </c>
      <c r="T27" s="10">
        <v>43286</v>
      </c>
      <c r="U27" s="14">
        <v>19.932659999999998</v>
      </c>
      <c r="V27" s="14">
        <v>2.0139999999999998</v>
      </c>
      <c r="W27" s="14">
        <v>17.918659999999999</v>
      </c>
      <c r="X27" s="11">
        <v>114</v>
      </c>
      <c r="Y27" s="10">
        <v>43287</v>
      </c>
      <c r="Z27" s="11">
        <v>9035531199</v>
      </c>
      <c r="AA27" s="12" t="s">
        <v>41</v>
      </c>
      <c r="AB27" s="11" t="s">
        <v>126</v>
      </c>
      <c r="AC27" s="12" t="s">
        <v>127</v>
      </c>
      <c r="AD27" s="11" t="s">
        <v>44</v>
      </c>
      <c r="AE27" s="12" t="s">
        <v>45</v>
      </c>
      <c r="AF27" s="14">
        <v>0.19932659999999999</v>
      </c>
      <c r="AG27" s="11" t="s">
        <v>59</v>
      </c>
    </row>
    <row r="28" spans="1:33" x14ac:dyDescent="0.2">
      <c r="A28" s="8">
        <v>3061</v>
      </c>
      <c r="B28" s="9" t="s">
        <v>112</v>
      </c>
      <c r="C28" s="10">
        <v>43287</v>
      </c>
      <c r="D28" s="11">
        <v>62</v>
      </c>
      <c r="E28" s="12" t="s">
        <v>34</v>
      </c>
      <c r="F28" s="12" t="s">
        <v>35</v>
      </c>
      <c r="G28" s="12" t="s">
        <v>36</v>
      </c>
      <c r="H28" s="12" t="s">
        <v>37</v>
      </c>
      <c r="I28" s="11" t="s">
        <v>128</v>
      </c>
      <c r="J28" s="12" t="s">
        <v>129</v>
      </c>
      <c r="K28" s="13" t="s">
        <v>125</v>
      </c>
      <c r="L28" s="11" t="str">
        <f>"000244"</f>
        <v>000244</v>
      </c>
      <c r="M28" s="10">
        <v>43262</v>
      </c>
      <c r="N28" s="11" t="str">
        <f>"000087"</f>
        <v>000087</v>
      </c>
      <c r="O28" s="10">
        <v>43190</v>
      </c>
      <c r="P28" s="11" t="str">
        <f>"000027"</f>
        <v>000027</v>
      </c>
      <c r="Q28" s="10">
        <v>43263</v>
      </c>
      <c r="R28" s="11">
        <v>18</v>
      </c>
      <c r="S28" s="11" t="str">
        <f>"003355"</f>
        <v>003355</v>
      </c>
      <c r="T28" s="10">
        <v>43286</v>
      </c>
      <c r="U28" s="14">
        <v>19.90756</v>
      </c>
      <c r="V28" s="14">
        <v>2.0957499999999998</v>
      </c>
      <c r="W28" s="14">
        <v>17.811810000000001</v>
      </c>
      <c r="X28" s="11">
        <v>114</v>
      </c>
      <c r="Y28" s="10">
        <v>43287</v>
      </c>
      <c r="Z28" s="11">
        <v>9035531199</v>
      </c>
      <c r="AA28" s="12" t="s">
        <v>41</v>
      </c>
      <c r="AB28" s="11" t="s">
        <v>126</v>
      </c>
      <c r="AC28" s="12" t="s">
        <v>127</v>
      </c>
      <c r="AD28" s="11" t="s">
        <v>44</v>
      </c>
      <c r="AE28" s="12" t="s">
        <v>45</v>
      </c>
      <c r="AF28" s="14">
        <v>0.19907559999999999</v>
      </c>
      <c r="AG28" s="11" t="s">
        <v>59</v>
      </c>
    </row>
    <row r="29" spans="1:33" x14ac:dyDescent="0.2">
      <c r="A29" s="8">
        <v>3244</v>
      </c>
      <c r="B29" s="9" t="s">
        <v>112</v>
      </c>
      <c r="C29" s="10">
        <v>43293</v>
      </c>
      <c r="D29" s="11">
        <v>62</v>
      </c>
      <c r="E29" s="12" t="s">
        <v>34</v>
      </c>
      <c r="F29" s="12" t="s">
        <v>35</v>
      </c>
      <c r="G29" s="12" t="s">
        <v>36</v>
      </c>
      <c r="H29" s="12" t="s">
        <v>37</v>
      </c>
      <c r="I29" s="11" t="s">
        <v>130</v>
      </c>
      <c r="J29" s="12" t="s">
        <v>131</v>
      </c>
      <c r="K29" s="13" t="s">
        <v>55</v>
      </c>
      <c r="L29" s="11" t="str">
        <f>"000224"</f>
        <v>000224</v>
      </c>
      <c r="M29" s="10">
        <v>43166</v>
      </c>
      <c r="N29" s="11" t="str">
        <f>"000009"</f>
        <v>000009</v>
      </c>
      <c r="O29" s="10">
        <v>43273</v>
      </c>
      <c r="P29" s="11" t="str">
        <f>"000032"</f>
        <v>000032</v>
      </c>
      <c r="Q29" s="10">
        <v>43276</v>
      </c>
      <c r="R29" s="11">
        <v>18</v>
      </c>
      <c r="S29" s="11" t="str">
        <f>"003560"</f>
        <v>003560</v>
      </c>
      <c r="T29" s="10">
        <v>43292</v>
      </c>
      <c r="U29" s="14">
        <v>47.986409999999999</v>
      </c>
      <c r="V29" s="14">
        <v>5.1350499999999997</v>
      </c>
      <c r="W29" s="14">
        <v>42.85136</v>
      </c>
      <c r="X29" s="11">
        <v>122</v>
      </c>
      <c r="Y29" s="10">
        <v>43293</v>
      </c>
      <c r="Z29" s="11">
        <v>9856232659</v>
      </c>
      <c r="AA29" s="12" t="s">
        <v>41</v>
      </c>
      <c r="AB29" s="11" t="s">
        <v>132</v>
      </c>
      <c r="AC29" s="12" t="s">
        <v>133</v>
      </c>
      <c r="AD29" s="11" t="s">
        <v>44</v>
      </c>
      <c r="AE29" s="12" t="s">
        <v>45</v>
      </c>
      <c r="AF29" s="14">
        <v>0.47986410000000002</v>
      </c>
      <c r="AG29" s="11" t="s">
        <v>59</v>
      </c>
    </row>
    <row r="30" spans="1:33" x14ac:dyDescent="0.2">
      <c r="A30" s="8">
        <v>3286</v>
      </c>
      <c r="B30" s="9" t="s">
        <v>112</v>
      </c>
      <c r="C30" s="10">
        <v>43297</v>
      </c>
      <c r="D30" s="11">
        <v>62</v>
      </c>
      <c r="E30" s="12" t="s">
        <v>34</v>
      </c>
      <c r="F30" s="12" t="s">
        <v>35</v>
      </c>
      <c r="G30" s="12" t="s">
        <v>36</v>
      </c>
      <c r="H30" s="12" t="s">
        <v>37</v>
      </c>
      <c r="I30" s="11" t="s">
        <v>134</v>
      </c>
      <c r="J30" s="12" t="s">
        <v>135</v>
      </c>
      <c r="K30" s="13" t="s">
        <v>125</v>
      </c>
      <c r="L30" s="11" t="str">
        <f>"100005"</f>
        <v>100005</v>
      </c>
      <c r="M30" s="10">
        <v>42487</v>
      </c>
      <c r="N30" s="11" t="str">
        <f>"000097"</f>
        <v>000097</v>
      </c>
      <c r="O30" s="10">
        <v>42825</v>
      </c>
      <c r="P30" s="11" t="str">
        <f>"000333"</f>
        <v>000333</v>
      </c>
      <c r="Q30" s="10">
        <v>42825</v>
      </c>
      <c r="R30" s="11">
        <v>16</v>
      </c>
      <c r="S30" s="11" t="str">
        <f>"004053"</f>
        <v>004053</v>
      </c>
      <c r="T30" s="10">
        <v>43301</v>
      </c>
      <c r="U30" s="14">
        <v>3.9874499999999999</v>
      </c>
      <c r="V30" s="14">
        <v>0.19939999999999999</v>
      </c>
      <c r="W30" s="14">
        <v>3.7880500000000001</v>
      </c>
      <c r="X30" s="11">
        <v>125</v>
      </c>
      <c r="Y30" s="10">
        <v>43297</v>
      </c>
      <c r="Z30" s="11">
        <v>9854578659</v>
      </c>
      <c r="AA30" s="12" t="s">
        <v>115</v>
      </c>
      <c r="AB30" s="11" t="s">
        <v>51</v>
      </c>
      <c r="AC30" s="12" t="s">
        <v>52</v>
      </c>
      <c r="AD30" s="11" t="s">
        <v>44</v>
      </c>
      <c r="AE30" s="12" t="s">
        <v>45</v>
      </c>
      <c r="AF30" s="14">
        <v>3.98745E-2</v>
      </c>
      <c r="AG30" s="11" t="s">
        <v>46</v>
      </c>
    </row>
    <row r="31" spans="1:33" x14ac:dyDescent="0.2">
      <c r="A31" s="8">
        <v>3487</v>
      </c>
      <c r="B31" s="9" t="s">
        <v>112</v>
      </c>
      <c r="C31" s="10">
        <v>43299</v>
      </c>
      <c r="D31" s="11">
        <v>62</v>
      </c>
      <c r="E31" s="12" t="s">
        <v>34</v>
      </c>
      <c r="F31" s="12" t="s">
        <v>35</v>
      </c>
      <c r="G31" s="12" t="s">
        <v>36</v>
      </c>
      <c r="H31" s="12" t="s">
        <v>37</v>
      </c>
      <c r="I31" s="11" t="s">
        <v>136</v>
      </c>
      <c r="J31" s="12" t="s">
        <v>137</v>
      </c>
      <c r="K31" s="13" t="s">
        <v>49</v>
      </c>
      <c r="L31" s="11" t="str">
        <f>"000007"</f>
        <v>000007</v>
      </c>
      <c r="M31" s="10">
        <v>42947</v>
      </c>
      <c r="N31" s="11" t="str">
        <f>"000198"</f>
        <v>000198</v>
      </c>
      <c r="O31" s="10">
        <v>43159</v>
      </c>
      <c r="P31" s="11" t="str">
        <f>"000185"</f>
        <v>000185</v>
      </c>
      <c r="Q31" s="10">
        <v>43159</v>
      </c>
      <c r="R31" s="11">
        <v>16</v>
      </c>
      <c r="S31" s="11" t="str">
        <f>"003943"</f>
        <v>003943</v>
      </c>
      <c r="T31" s="10">
        <v>43299</v>
      </c>
      <c r="U31" s="14">
        <v>6.5224399999999996</v>
      </c>
      <c r="V31" s="14">
        <v>0.46360000000000001</v>
      </c>
      <c r="W31" s="14">
        <v>6.05884</v>
      </c>
      <c r="X31" s="11">
        <v>127</v>
      </c>
      <c r="Y31" s="10">
        <v>43299</v>
      </c>
      <c r="Z31" s="11">
        <v>9845860866</v>
      </c>
      <c r="AA31" s="12" t="s">
        <v>138</v>
      </c>
      <c r="AB31" s="11" t="s">
        <v>139</v>
      </c>
      <c r="AC31" s="12" t="s">
        <v>140</v>
      </c>
      <c r="AD31" s="11" t="s">
        <v>67</v>
      </c>
      <c r="AE31" s="12" t="s">
        <v>68</v>
      </c>
      <c r="AF31" s="14">
        <v>6.5224400000000002E-2</v>
      </c>
      <c r="AG31" s="11" t="s">
        <v>46</v>
      </c>
    </row>
    <row r="32" spans="1:33" x14ac:dyDescent="0.2">
      <c r="A32" s="8">
        <v>3672</v>
      </c>
      <c r="B32" s="9" t="s">
        <v>112</v>
      </c>
      <c r="C32" s="10">
        <v>43300</v>
      </c>
      <c r="D32" s="11">
        <v>62</v>
      </c>
      <c r="E32" s="12" t="s">
        <v>34</v>
      </c>
      <c r="F32" s="12" t="s">
        <v>35</v>
      </c>
      <c r="G32" s="12" t="s">
        <v>36</v>
      </c>
      <c r="H32" s="12" t="s">
        <v>37</v>
      </c>
      <c r="I32" s="11" t="s">
        <v>53</v>
      </c>
      <c r="J32" s="12" t="s">
        <v>54</v>
      </c>
      <c r="K32" s="13" t="s">
        <v>49</v>
      </c>
      <c r="L32" s="11" t="str">
        <f>"000151"</f>
        <v>000151</v>
      </c>
      <c r="M32" s="10">
        <v>43038</v>
      </c>
      <c r="N32" s="11" t="str">
        <f>"000012"</f>
        <v>000012</v>
      </c>
      <c r="O32" s="10">
        <v>43283</v>
      </c>
      <c r="P32" s="11" t="str">
        <f>"000036"</f>
        <v>000036</v>
      </c>
      <c r="Q32" s="10">
        <v>43283</v>
      </c>
      <c r="R32" s="11">
        <v>17</v>
      </c>
      <c r="S32" s="11" t="str">
        <f>"003785"</f>
        <v>003785</v>
      </c>
      <c r="T32" s="10">
        <v>43294</v>
      </c>
      <c r="U32" s="14">
        <v>1.06507</v>
      </c>
      <c r="V32" s="14">
        <v>2.24E-2</v>
      </c>
      <c r="W32" s="14">
        <v>1.04267</v>
      </c>
      <c r="X32" s="11">
        <v>133</v>
      </c>
      <c r="Y32" s="10">
        <v>43300</v>
      </c>
      <c r="Z32" s="11">
        <v>9448049099</v>
      </c>
      <c r="AA32" s="12" t="s">
        <v>56</v>
      </c>
      <c r="AB32" s="11" t="s">
        <v>57</v>
      </c>
      <c r="AC32" s="12" t="s">
        <v>58</v>
      </c>
      <c r="AD32" s="11" t="s">
        <v>44</v>
      </c>
      <c r="AE32" s="12" t="s">
        <v>45</v>
      </c>
      <c r="AF32" s="14">
        <v>1.0650699999999999E-2</v>
      </c>
      <c r="AG32" s="11" t="s">
        <v>59</v>
      </c>
    </row>
    <row r="33" spans="1:33" x14ac:dyDescent="0.2">
      <c r="A33" s="8">
        <v>3724</v>
      </c>
      <c r="B33" s="9" t="s">
        <v>112</v>
      </c>
      <c r="C33" s="10">
        <v>43301</v>
      </c>
      <c r="D33" s="11">
        <v>62</v>
      </c>
      <c r="E33" s="12" t="s">
        <v>34</v>
      </c>
      <c r="F33" s="12" t="s">
        <v>35</v>
      </c>
      <c r="G33" s="12" t="s">
        <v>36</v>
      </c>
      <c r="H33" s="12" t="s">
        <v>37</v>
      </c>
      <c r="I33" s="11" t="s">
        <v>136</v>
      </c>
      <c r="J33" s="12" t="s">
        <v>137</v>
      </c>
      <c r="K33" s="13" t="s">
        <v>49</v>
      </c>
      <c r="L33" s="11" t="str">
        <f>"000007"</f>
        <v>000007</v>
      </c>
      <c r="M33" s="10">
        <v>42947</v>
      </c>
      <c r="N33" s="11" t="str">
        <f>"000198"</f>
        <v>000198</v>
      </c>
      <c r="O33" s="10">
        <v>43159</v>
      </c>
      <c r="P33" s="11" t="str">
        <f>"000185"</f>
        <v>000185</v>
      </c>
      <c r="Q33" s="10">
        <v>43159</v>
      </c>
      <c r="R33" s="11">
        <v>16</v>
      </c>
      <c r="S33" s="11" t="str">
        <f>"003943"</f>
        <v>003943</v>
      </c>
      <c r="T33" s="10">
        <v>43299</v>
      </c>
      <c r="U33" s="14">
        <v>0.92169999999999996</v>
      </c>
      <c r="V33" s="14">
        <v>9.9529999999999993E-2</v>
      </c>
      <c r="W33" s="14">
        <v>0.82216999999999996</v>
      </c>
      <c r="X33" s="11">
        <v>134</v>
      </c>
      <c r="Y33" s="10">
        <v>43301</v>
      </c>
      <c r="Z33" s="11">
        <v>9845860866</v>
      </c>
      <c r="AA33" s="12" t="s">
        <v>138</v>
      </c>
      <c r="AB33" s="11" t="s">
        <v>139</v>
      </c>
      <c r="AC33" s="12" t="s">
        <v>140</v>
      </c>
      <c r="AD33" s="11" t="s">
        <v>67</v>
      </c>
      <c r="AE33" s="12" t="s">
        <v>68</v>
      </c>
      <c r="AF33" s="14">
        <v>9.2169999999999995E-3</v>
      </c>
      <c r="AG33" s="11" t="s">
        <v>46</v>
      </c>
    </row>
    <row r="34" spans="1:33" x14ac:dyDescent="0.2">
      <c r="A34" s="8">
        <v>3725</v>
      </c>
      <c r="B34" s="9" t="s">
        <v>112</v>
      </c>
      <c r="C34" s="10">
        <v>43301</v>
      </c>
      <c r="D34" s="11">
        <v>62</v>
      </c>
      <c r="E34" s="12" t="s">
        <v>34</v>
      </c>
      <c r="F34" s="12" t="s">
        <v>35</v>
      </c>
      <c r="G34" s="12" t="s">
        <v>36</v>
      </c>
      <c r="H34" s="12" t="s">
        <v>37</v>
      </c>
      <c r="I34" s="11" t="s">
        <v>136</v>
      </c>
      <c r="J34" s="12" t="s">
        <v>137</v>
      </c>
      <c r="K34" s="13" t="s">
        <v>49</v>
      </c>
      <c r="L34" s="11" t="str">
        <f>"000007"</f>
        <v>000007</v>
      </c>
      <c r="M34" s="10">
        <v>42947</v>
      </c>
      <c r="N34" s="11" t="str">
        <f>"000198"</f>
        <v>000198</v>
      </c>
      <c r="O34" s="10">
        <v>43159</v>
      </c>
      <c r="P34" s="11" t="str">
        <f>"000185"</f>
        <v>000185</v>
      </c>
      <c r="Q34" s="10">
        <v>43159</v>
      </c>
      <c r="R34" s="11">
        <v>16</v>
      </c>
      <c r="S34" s="11" t="str">
        <f>"003943"</f>
        <v>003943</v>
      </c>
      <c r="T34" s="10">
        <v>43299</v>
      </c>
      <c r="U34" s="14">
        <v>4.60853</v>
      </c>
      <c r="V34" s="14">
        <v>0.42804999999999999</v>
      </c>
      <c r="W34" s="14">
        <v>4.1804800000000002</v>
      </c>
      <c r="X34" s="11">
        <v>134</v>
      </c>
      <c r="Y34" s="10">
        <v>43301</v>
      </c>
      <c r="Z34" s="11">
        <v>9845860866</v>
      </c>
      <c r="AA34" s="12" t="s">
        <v>138</v>
      </c>
      <c r="AB34" s="11" t="s">
        <v>139</v>
      </c>
      <c r="AC34" s="12" t="s">
        <v>140</v>
      </c>
      <c r="AD34" s="11" t="s">
        <v>67</v>
      </c>
      <c r="AE34" s="12" t="s">
        <v>68</v>
      </c>
      <c r="AF34" s="14">
        <v>4.6085300000000003E-2</v>
      </c>
      <c r="AG34" s="11" t="s">
        <v>46</v>
      </c>
    </row>
    <row r="35" spans="1:33" x14ac:dyDescent="0.2">
      <c r="A35" s="8">
        <v>3988</v>
      </c>
      <c r="B35" s="9" t="s">
        <v>112</v>
      </c>
      <c r="C35" s="10">
        <v>43307</v>
      </c>
      <c r="D35" s="11">
        <v>62</v>
      </c>
      <c r="E35" s="12" t="s">
        <v>34</v>
      </c>
      <c r="F35" s="12" t="s">
        <v>35</v>
      </c>
      <c r="G35" s="12" t="s">
        <v>36</v>
      </c>
      <c r="H35" s="12" t="s">
        <v>37</v>
      </c>
      <c r="I35" s="11" t="s">
        <v>134</v>
      </c>
      <c r="J35" s="12" t="s">
        <v>135</v>
      </c>
      <c r="K35" s="13" t="s">
        <v>125</v>
      </c>
      <c r="L35" s="11" t="str">
        <f>"100005"</f>
        <v>100005</v>
      </c>
      <c r="M35" s="10">
        <v>42487</v>
      </c>
      <c r="N35" s="11" t="str">
        <f>"000097"</f>
        <v>000097</v>
      </c>
      <c r="O35" s="10">
        <v>42825</v>
      </c>
      <c r="P35" s="11" t="str">
        <f>"000333"</f>
        <v>000333</v>
      </c>
      <c r="Q35" s="10">
        <v>42825</v>
      </c>
      <c r="R35" s="11">
        <v>16</v>
      </c>
      <c r="S35" s="11" t="str">
        <f>"004053"</f>
        <v>004053</v>
      </c>
      <c r="T35" s="10">
        <v>43301</v>
      </c>
      <c r="U35" s="14">
        <v>7.9748900000000003</v>
      </c>
      <c r="V35" s="14">
        <v>0.39874999999999999</v>
      </c>
      <c r="W35" s="14">
        <v>7.5761399999999997</v>
      </c>
      <c r="X35" s="11">
        <v>142</v>
      </c>
      <c r="Y35" s="10">
        <v>43307</v>
      </c>
      <c r="Z35" s="11">
        <v>9854578659</v>
      </c>
      <c r="AA35" s="12" t="s">
        <v>115</v>
      </c>
      <c r="AB35" s="11" t="s">
        <v>51</v>
      </c>
      <c r="AC35" s="12" t="s">
        <v>52</v>
      </c>
      <c r="AD35" s="11" t="s">
        <v>44</v>
      </c>
      <c r="AE35" s="12" t="s">
        <v>45</v>
      </c>
      <c r="AF35" s="14">
        <v>7.9748899999999998E-2</v>
      </c>
      <c r="AG35" s="11" t="s">
        <v>46</v>
      </c>
    </row>
    <row r="36" spans="1:33" x14ac:dyDescent="0.2">
      <c r="A36" s="8">
        <v>4200</v>
      </c>
      <c r="B36" s="9" t="s">
        <v>141</v>
      </c>
      <c r="C36" s="10">
        <v>43313</v>
      </c>
      <c r="D36" s="11">
        <v>62</v>
      </c>
      <c r="E36" s="12" t="s">
        <v>34</v>
      </c>
      <c r="F36" s="12" t="s">
        <v>35</v>
      </c>
      <c r="G36" s="12" t="s">
        <v>36</v>
      </c>
      <c r="H36" s="12" t="s">
        <v>37</v>
      </c>
      <c r="I36" s="11" t="s">
        <v>142</v>
      </c>
      <c r="J36" s="12" t="s">
        <v>143</v>
      </c>
      <c r="K36" s="13" t="s">
        <v>40</v>
      </c>
      <c r="L36" s="11" t="str">
        <f>"000059"</f>
        <v>000059</v>
      </c>
      <c r="M36" s="10">
        <v>43300</v>
      </c>
      <c r="N36" s="11" t="str">
        <f>"000029"</f>
        <v>000029</v>
      </c>
      <c r="O36" s="10">
        <v>43302</v>
      </c>
      <c r="P36" s="11" t="str">
        <f>"000050"</f>
        <v>000050</v>
      </c>
      <c r="Q36" s="10">
        <v>43305</v>
      </c>
      <c r="R36" s="11">
        <v>18</v>
      </c>
      <c r="S36" s="11" t="str">
        <f>"004575"</f>
        <v>004575</v>
      </c>
      <c r="T36" s="10">
        <v>43313</v>
      </c>
      <c r="U36" s="14">
        <v>49.966450000000002</v>
      </c>
      <c r="V36" s="14">
        <v>4.9169999999999998</v>
      </c>
      <c r="W36" s="14">
        <v>45.04945</v>
      </c>
      <c r="X36" s="11">
        <v>147</v>
      </c>
      <c r="Y36" s="10">
        <v>43313</v>
      </c>
      <c r="Z36" s="11">
        <v>9620732444</v>
      </c>
      <c r="AA36" s="12" t="s">
        <v>41</v>
      </c>
      <c r="AB36" s="11" t="s">
        <v>132</v>
      </c>
      <c r="AC36" s="12" t="s">
        <v>133</v>
      </c>
      <c r="AD36" s="11" t="s">
        <v>44</v>
      </c>
      <c r="AE36" s="12" t="s">
        <v>45</v>
      </c>
      <c r="AF36" s="14">
        <v>0.49966450000000001</v>
      </c>
      <c r="AG36" s="11" t="s">
        <v>118</v>
      </c>
    </row>
    <row r="37" spans="1:33" x14ac:dyDescent="0.2">
      <c r="A37" s="8">
        <v>4201</v>
      </c>
      <c r="B37" s="9" t="s">
        <v>141</v>
      </c>
      <c r="C37" s="10">
        <v>43313</v>
      </c>
      <c r="D37" s="11">
        <v>62</v>
      </c>
      <c r="E37" s="12" t="s">
        <v>34</v>
      </c>
      <c r="F37" s="12" t="s">
        <v>35</v>
      </c>
      <c r="G37" s="12" t="s">
        <v>36</v>
      </c>
      <c r="H37" s="12" t="s">
        <v>37</v>
      </c>
      <c r="I37" s="11" t="s">
        <v>144</v>
      </c>
      <c r="J37" s="12" t="s">
        <v>145</v>
      </c>
      <c r="K37" s="13" t="s">
        <v>40</v>
      </c>
      <c r="L37" s="11" t="str">
        <f>"000055"</f>
        <v>000055</v>
      </c>
      <c r="M37" s="10">
        <v>43300</v>
      </c>
      <c r="N37" s="11" t="str">
        <f>"000036"</f>
        <v>000036</v>
      </c>
      <c r="O37" s="10">
        <v>43302</v>
      </c>
      <c r="P37" s="11" t="str">
        <f>"000051"</f>
        <v>000051</v>
      </c>
      <c r="Q37" s="10">
        <v>43305</v>
      </c>
      <c r="R37" s="11">
        <v>18</v>
      </c>
      <c r="S37" s="11" t="str">
        <f>"004576"</f>
        <v>004576</v>
      </c>
      <c r="T37" s="10">
        <v>43313</v>
      </c>
      <c r="U37" s="14">
        <v>49.942120000000003</v>
      </c>
      <c r="V37" s="14">
        <v>4.9119999999999999</v>
      </c>
      <c r="W37" s="14">
        <v>45.030119999999997</v>
      </c>
      <c r="X37" s="11">
        <v>147</v>
      </c>
      <c r="Y37" s="10">
        <v>43313</v>
      </c>
      <c r="Z37" s="11">
        <v>9620732444</v>
      </c>
      <c r="AA37" s="12" t="s">
        <v>41</v>
      </c>
      <c r="AB37" s="11" t="s">
        <v>132</v>
      </c>
      <c r="AC37" s="12" t="s">
        <v>133</v>
      </c>
      <c r="AD37" s="11" t="s">
        <v>44</v>
      </c>
      <c r="AE37" s="12" t="s">
        <v>45</v>
      </c>
      <c r="AF37" s="14">
        <v>0.49942120000000001</v>
      </c>
      <c r="AG37" s="11" t="s">
        <v>118</v>
      </c>
    </row>
    <row r="38" spans="1:33" x14ac:dyDescent="0.2">
      <c r="A38" s="8">
        <v>4202</v>
      </c>
      <c r="B38" s="9" t="s">
        <v>141</v>
      </c>
      <c r="C38" s="10">
        <v>43313</v>
      </c>
      <c r="D38" s="11">
        <v>62</v>
      </c>
      <c r="E38" s="12" t="s">
        <v>34</v>
      </c>
      <c r="F38" s="12" t="s">
        <v>35</v>
      </c>
      <c r="G38" s="12" t="s">
        <v>36</v>
      </c>
      <c r="H38" s="12" t="s">
        <v>37</v>
      </c>
      <c r="I38" s="11" t="s">
        <v>146</v>
      </c>
      <c r="J38" s="12" t="s">
        <v>147</v>
      </c>
      <c r="K38" s="13" t="s">
        <v>40</v>
      </c>
      <c r="L38" s="11" t="str">
        <f>"000065"</f>
        <v>000065</v>
      </c>
      <c r="M38" s="10">
        <v>43300</v>
      </c>
      <c r="N38" s="11" t="str">
        <f>"000031"</f>
        <v>000031</v>
      </c>
      <c r="O38" s="10">
        <v>43302</v>
      </c>
      <c r="P38" s="11" t="str">
        <f>"000053"</f>
        <v>000053</v>
      </c>
      <c r="Q38" s="10">
        <v>43305</v>
      </c>
      <c r="R38" s="11">
        <v>18</v>
      </c>
      <c r="S38" s="11" t="str">
        <f>"004578"</f>
        <v>004578</v>
      </c>
      <c r="T38" s="10">
        <v>43313</v>
      </c>
      <c r="U38" s="14">
        <v>49.897190000000002</v>
      </c>
      <c r="V38" s="14">
        <v>4.9119999999999999</v>
      </c>
      <c r="W38" s="14">
        <v>44.985190000000003</v>
      </c>
      <c r="X38" s="11">
        <v>147</v>
      </c>
      <c r="Y38" s="10">
        <v>43313</v>
      </c>
      <c r="Z38" s="11">
        <v>9620732444</v>
      </c>
      <c r="AA38" s="12" t="s">
        <v>41</v>
      </c>
      <c r="AB38" s="11" t="s">
        <v>132</v>
      </c>
      <c r="AC38" s="12" t="s">
        <v>133</v>
      </c>
      <c r="AD38" s="11" t="s">
        <v>44</v>
      </c>
      <c r="AE38" s="12" t="s">
        <v>45</v>
      </c>
      <c r="AF38" s="14">
        <v>0.49897190000000002</v>
      </c>
      <c r="AG38" s="11" t="s">
        <v>118</v>
      </c>
    </row>
    <row r="39" spans="1:33" x14ac:dyDescent="0.2">
      <c r="A39" s="8">
        <v>4203</v>
      </c>
      <c r="B39" s="9" t="s">
        <v>141</v>
      </c>
      <c r="C39" s="10">
        <v>43313</v>
      </c>
      <c r="D39" s="11">
        <v>62</v>
      </c>
      <c r="E39" s="12" t="s">
        <v>34</v>
      </c>
      <c r="F39" s="12" t="s">
        <v>35</v>
      </c>
      <c r="G39" s="12" t="s">
        <v>36</v>
      </c>
      <c r="H39" s="12" t="s">
        <v>37</v>
      </c>
      <c r="I39" s="11" t="s">
        <v>148</v>
      </c>
      <c r="J39" s="12" t="s">
        <v>149</v>
      </c>
      <c r="K39" s="13" t="s">
        <v>40</v>
      </c>
      <c r="L39" s="11" t="str">
        <f>"000060"</f>
        <v>000060</v>
      </c>
      <c r="M39" s="10">
        <v>43300</v>
      </c>
      <c r="N39" s="11" t="str">
        <f>"000033"</f>
        <v>000033</v>
      </c>
      <c r="O39" s="10">
        <v>43302</v>
      </c>
      <c r="P39" s="11" t="str">
        <f>"000054"</f>
        <v>000054</v>
      </c>
      <c r="Q39" s="10">
        <v>43305</v>
      </c>
      <c r="R39" s="11">
        <v>18</v>
      </c>
      <c r="S39" s="11" t="str">
        <f>"004579"</f>
        <v>004579</v>
      </c>
      <c r="T39" s="10">
        <v>43313</v>
      </c>
      <c r="U39" s="14">
        <v>49.982489999999999</v>
      </c>
      <c r="V39" s="14">
        <v>4.9450000000000003</v>
      </c>
      <c r="W39" s="14">
        <v>45.037489999999998</v>
      </c>
      <c r="X39" s="11">
        <v>147</v>
      </c>
      <c r="Y39" s="10">
        <v>43313</v>
      </c>
      <c r="Z39" s="11">
        <v>9620732444</v>
      </c>
      <c r="AA39" s="12" t="s">
        <v>41</v>
      </c>
      <c r="AB39" s="11" t="s">
        <v>132</v>
      </c>
      <c r="AC39" s="12" t="s">
        <v>133</v>
      </c>
      <c r="AD39" s="11" t="s">
        <v>44</v>
      </c>
      <c r="AE39" s="12" t="s">
        <v>45</v>
      </c>
      <c r="AF39" s="14">
        <v>0.49982489999999996</v>
      </c>
      <c r="AG39" s="11" t="s">
        <v>118</v>
      </c>
    </row>
    <row r="40" spans="1:33" x14ac:dyDescent="0.2">
      <c r="A40" s="8">
        <v>4204</v>
      </c>
      <c r="B40" s="9" t="s">
        <v>141</v>
      </c>
      <c r="C40" s="10">
        <v>43313</v>
      </c>
      <c r="D40" s="11">
        <v>62</v>
      </c>
      <c r="E40" s="12" t="s">
        <v>34</v>
      </c>
      <c r="F40" s="12" t="s">
        <v>35</v>
      </c>
      <c r="G40" s="12" t="s">
        <v>36</v>
      </c>
      <c r="H40" s="12" t="s">
        <v>37</v>
      </c>
      <c r="I40" s="11" t="s">
        <v>150</v>
      </c>
      <c r="J40" s="12" t="s">
        <v>151</v>
      </c>
      <c r="K40" s="13" t="s">
        <v>40</v>
      </c>
      <c r="L40" s="11" t="str">
        <f>"000064"</f>
        <v>000064</v>
      </c>
      <c r="M40" s="10">
        <v>43300</v>
      </c>
      <c r="N40" s="11" t="str">
        <f>"000026"</f>
        <v>000026</v>
      </c>
      <c r="O40" s="10">
        <v>43302</v>
      </c>
      <c r="P40" s="11" t="str">
        <f>"000055"</f>
        <v>000055</v>
      </c>
      <c r="Q40" s="10">
        <v>43305</v>
      </c>
      <c r="R40" s="11">
        <v>18</v>
      </c>
      <c r="S40" s="11" t="str">
        <f>"004580"</f>
        <v>004580</v>
      </c>
      <c r="T40" s="10">
        <v>43313</v>
      </c>
      <c r="U40" s="14">
        <v>49.803420000000003</v>
      </c>
      <c r="V40" s="14">
        <v>4.8975999999999997</v>
      </c>
      <c r="W40" s="14">
        <v>44.905819999999999</v>
      </c>
      <c r="X40" s="11">
        <v>147</v>
      </c>
      <c r="Y40" s="10">
        <v>43313</v>
      </c>
      <c r="Z40" s="11">
        <v>9620732444</v>
      </c>
      <c r="AA40" s="12" t="s">
        <v>41</v>
      </c>
      <c r="AB40" s="11" t="s">
        <v>132</v>
      </c>
      <c r="AC40" s="12" t="s">
        <v>133</v>
      </c>
      <c r="AD40" s="11" t="s">
        <v>44</v>
      </c>
      <c r="AE40" s="12" t="s">
        <v>45</v>
      </c>
      <c r="AF40" s="14">
        <v>0.49803420000000004</v>
      </c>
      <c r="AG40" s="11" t="s">
        <v>118</v>
      </c>
    </row>
    <row r="41" spans="1:33" x14ac:dyDescent="0.2">
      <c r="A41" s="8">
        <v>4205</v>
      </c>
      <c r="B41" s="9" t="s">
        <v>141</v>
      </c>
      <c r="C41" s="10">
        <v>43313</v>
      </c>
      <c r="D41" s="11">
        <v>62</v>
      </c>
      <c r="E41" s="12" t="s">
        <v>34</v>
      </c>
      <c r="F41" s="12" t="s">
        <v>35</v>
      </c>
      <c r="G41" s="12" t="s">
        <v>36</v>
      </c>
      <c r="H41" s="12" t="s">
        <v>37</v>
      </c>
      <c r="I41" s="11" t="s">
        <v>152</v>
      </c>
      <c r="J41" s="12" t="s">
        <v>153</v>
      </c>
      <c r="K41" s="13" t="s">
        <v>40</v>
      </c>
      <c r="L41" s="11" t="str">
        <f>"000062"</f>
        <v>000062</v>
      </c>
      <c r="M41" s="10">
        <v>43300</v>
      </c>
      <c r="N41" s="11" t="str">
        <f>"000023"</f>
        <v>000023</v>
      </c>
      <c r="O41" s="10">
        <v>43302</v>
      </c>
      <c r="P41" s="11" t="str">
        <f>"000056"</f>
        <v>000056</v>
      </c>
      <c r="Q41" s="10">
        <v>43305</v>
      </c>
      <c r="R41" s="11">
        <v>18</v>
      </c>
      <c r="S41" s="11" t="str">
        <f>"004583"</f>
        <v>004583</v>
      </c>
      <c r="T41" s="10">
        <v>43313</v>
      </c>
      <c r="U41" s="14">
        <v>49.84281</v>
      </c>
      <c r="V41" s="14">
        <v>4.8955000000000002</v>
      </c>
      <c r="W41" s="14">
        <v>44.947310000000002</v>
      </c>
      <c r="X41" s="11">
        <v>147</v>
      </c>
      <c r="Y41" s="10">
        <v>43313</v>
      </c>
      <c r="Z41" s="11">
        <v>9620732444</v>
      </c>
      <c r="AA41" s="12" t="s">
        <v>41</v>
      </c>
      <c r="AB41" s="11" t="s">
        <v>132</v>
      </c>
      <c r="AC41" s="12" t="s">
        <v>133</v>
      </c>
      <c r="AD41" s="11" t="s">
        <v>44</v>
      </c>
      <c r="AE41" s="12" t="s">
        <v>45</v>
      </c>
      <c r="AF41" s="14">
        <v>0.49842809999999999</v>
      </c>
      <c r="AG41" s="11" t="s">
        <v>118</v>
      </c>
    </row>
    <row r="42" spans="1:33" x14ac:dyDescent="0.2">
      <c r="A42" s="8">
        <v>4206</v>
      </c>
      <c r="B42" s="9" t="s">
        <v>141</v>
      </c>
      <c r="C42" s="10">
        <v>43313</v>
      </c>
      <c r="D42" s="11">
        <v>62</v>
      </c>
      <c r="E42" s="12" t="s">
        <v>34</v>
      </c>
      <c r="F42" s="12" t="s">
        <v>35</v>
      </c>
      <c r="G42" s="12" t="s">
        <v>36</v>
      </c>
      <c r="H42" s="12" t="s">
        <v>37</v>
      </c>
      <c r="I42" s="11" t="s">
        <v>154</v>
      </c>
      <c r="J42" s="12" t="s">
        <v>155</v>
      </c>
      <c r="K42" s="13" t="s">
        <v>40</v>
      </c>
      <c r="L42" s="11" t="str">
        <f>"000053"</f>
        <v>000053</v>
      </c>
      <c r="M42" s="10">
        <v>43300</v>
      </c>
      <c r="N42" s="11" t="str">
        <f>"000032"</f>
        <v>000032</v>
      </c>
      <c r="O42" s="10">
        <v>43302</v>
      </c>
      <c r="P42" s="11" t="str">
        <f>"000057"</f>
        <v>000057</v>
      </c>
      <c r="Q42" s="10">
        <v>43305</v>
      </c>
      <c r="R42" s="11">
        <v>18</v>
      </c>
      <c r="S42" s="11" t="str">
        <f>"004585"</f>
        <v>004585</v>
      </c>
      <c r="T42" s="10">
        <v>43313</v>
      </c>
      <c r="U42" s="14">
        <v>49.97672</v>
      </c>
      <c r="V42" s="14">
        <v>4.9089</v>
      </c>
      <c r="W42" s="14">
        <v>45.067819999999998</v>
      </c>
      <c r="X42" s="11">
        <v>147</v>
      </c>
      <c r="Y42" s="10">
        <v>43313</v>
      </c>
      <c r="Z42" s="11">
        <v>9620732444</v>
      </c>
      <c r="AA42" s="12" t="s">
        <v>156</v>
      </c>
      <c r="AB42" s="11" t="s">
        <v>132</v>
      </c>
      <c r="AC42" s="12" t="s">
        <v>133</v>
      </c>
      <c r="AD42" s="11" t="s">
        <v>44</v>
      </c>
      <c r="AE42" s="12" t="s">
        <v>45</v>
      </c>
      <c r="AF42" s="14">
        <v>0.49976720000000002</v>
      </c>
      <c r="AG42" s="11" t="s">
        <v>118</v>
      </c>
    </row>
    <row r="43" spans="1:33" x14ac:dyDescent="0.2">
      <c r="A43" s="8">
        <v>4207</v>
      </c>
      <c r="B43" s="9" t="s">
        <v>141</v>
      </c>
      <c r="C43" s="10">
        <v>43313</v>
      </c>
      <c r="D43" s="11">
        <v>62</v>
      </c>
      <c r="E43" s="12" t="s">
        <v>34</v>
      </c>
      <c r="F43" s="12" t="s">
        <v>35</v>
      </c>
      <c r="G43" s="12" t="s">
        <v>36</v>
      </c>
      <c r="H43" s="12" t="s">
        <v>37</v>
      </c>
      <c r="I43" s="11" t="s">
        <v>157</v>
      </c>
      <c r="J43" s="12" t="s">
        <v>158</v>
      </c>
      <c r="K43" s="13" t="s">
        <v>40</v>
      </c>
      <c r="L43" s="11" t="str">
        <f>"000063"</f>
        <v>000063</v>
      </c>
      <c r="M43" s="10">
        <v>43300</v>
      </c>
      <c r="N43" s="11" t="str">
        <f>"000027"</f>
        <v>000027</v>
      </c>
      <c r="O43" s="10">
        <v>43302</v>
      </c>
      <c r="P43" s="11" t="str">
        <f>"000058"</f>
        <v>000058</v>
      </c>
      <c r="Q43" s="10">
        <v>43305</v>
      </c>
      <c r="R43" s="11">
        <v>18</v>
      </c>
      <c r="S43" s="11" t="str">
        <f>"004587"</f>
        <v>004587</v>
      </c>
      <c r="T43" s="10">
        <v>43313</v>
      </c>
      <c r="U43" s="14">
        <v>49.981070000000003</v>
      </c>
      <c r="V43" s="14">
        <v>4.9135</v>
      </c>
      <c r="W43" s="14">
        <v>45.067570000000003</v>
      </c>
      <c r="X43" s="11">
        <v>147</v>
      </c>
      <c r="Y43" s="10">
        <v>43313</v>
      </c>
      <c r="Z43" s="11">
        <v>9620732444</v>
      </c>
      <c r="AA43" s="12" t="s">
        <v>41</v>
      </c>
      <c r="AB43" s="11" t="s">
        <v>132</v>
      </c>
      <c r="AC43" s="12" t="s">
        <v>133</v>
      </c>
      <c r="AD43" s="11" t="s">
        <v>44</v>
      </c>
      <c r="AE43" s="12" t="s">
        <v>45</v>
      </c>
      <c r="AF43" s="14">
        <v>0.49981070000000005</v>
      </c>
      <c r="AG43" s="11" t="s">
        <v>118</v>
      </c>
    </row>
    <row r="44" spans="1:33" x14ac:dyDescent="0.2">
      <c r="A44" s="8">
        <v>4208</v>
      </c>
      <c r="B44" s="9" t="s">
        <v>141</v>
      </c>
      <c r="C44" s="10">
        <v>43313</v>
      </c>
      <c r="D44" s="11">
        <v>62</v>
      </c>
      <c r="E44" s="12" t="s">
        <v>34</v>
      </c>
      <c r="F44" s="12" t="s">
        <v>35</v>
      </c>
      <c r="G44" s="12" t="s">
        <v>36</v>
      </c>
      <c r="H44" s="12" t="s">
        <v>37</v>
      </c>
      <c r="I44" s="11" t="s">
        <v>159</v>
      </c>
      <c r="J44" s="12" t="s">
        <v>160</v>
      </c>
      <c r="K44" s="13" t="s">
        <v>40</v>
      </c>
      <c r="L44" s="11" t="str">
        <f>"000054"</f>
        <v>000054</v>
      </c>
      <c r="M44" s="10">
        <v>43300</v>
      </c>
      <c r="N44" s="11" t="str">
        <f>"000037"</f>
        <v>000037</v>
      </c>
      <c r="O44" s="10">
        <v>43302</v>
      </c>
      <c r="P44" s="11" t="str">
        <f>"000060"</f>
        <v>000060</v>
      </c>
      <c r="Q44" s="10">
        <v>43305</v>
      </c>
      <c r="R44" s="11">
        <v>18</v>
      </c>
      <c r="S44" s="11" t="str">
        <f>"004589"</f>
        <v>004589</v>
      </c>
      <c r="T44" s="10">
        <v>43313</v>
      </c>
      <c r="U44" s="14">
        <v>49.999679999999998</v>
      </c>
      <c r="V44" s="14">
        <v>4.907</v>
      </c>
      <c r="W44" s="14">
        <v>45.092680000000001</v>
      </c>
      <c r="X44" s="11">
        <v>147</v>
      </c>
      <c r="Y44" s="10">
        <v>43313</v>
      </c>
      <c r="Z44" s="11">
        <v>9620732444</v>
      </c>
      <c r="AA44" s="12" t="s">
        <v>41</v>
      </c>
      <c r="AB44" s="11" t="s">
        <v>132</v>
      </c>
      <c r="AC44" s="12" t="s">
        <v>133</v>
      </c>
      <c r="AD44" s="11" t="s">
        <v>44</v>
      </c>
      <c r="AE44" s="12" t="s">
        <v>45</v>
      </c>
      <c r="AF44" s="14">
        <v>0.49999679999999996</v>
      </c>
      <c r="AG44" s="11" t="s">
        <v>118</v>
      </c>
    </row>
    <row r="45" spans="1:33" x14ac:dyDescent="0.2">
      <c r="A45" s="8">
        <v>4209</v>
      </c>
      <c r="B45" s="9" t="s">
        <v>141</v>
      </c>
      <c r="C45" s="10">
        <v>43313</v>
      </c>
      <c r="D45" s="11">
        <v>62</v>
      </c>
      <c r="E45" s="12" t="s">
        <v>34</v>
      </c>
      <c r="F45" s="12" t="s">
        <v>35</v>
      </c>
      <c r="G45" s="12" t="s">
        <v>36</v>
      </c>
      <c r="H45" s="12" t="s">
        <v>37</v>
      </c>
      <c r="I45" s="11" t="s">
        <v>161</v>
      </c>
      <c r="J45" s="12" t="s">
        <v>162</v>
      </c>
      <c r="K45" s="13" t="s">
        <v>40</v>
      </c>
      <c r="L45" s="11" t="str">
        <f>"000057"</f>
        <v>000057</v>
      </c>
      <c r="M45" s="10">
        <v>43300</v>
      </c>
      <c r="N45" s="11" t="str">
        <f>"000025"</f>
        <v>000025</v>
      </c>
      <c r="O45" s="10">
        <v>43302</v>
      </c>
      <c r="P45" s="11" t="str">
        <f>"000061"</f>
        <v>000061</v>
      </c>
      <c r="Q45" s="10">
        <v>43305</v>
      </c>
      <c r="R45" s="11">
        <v>18</v>
      </c>
      <c r="S45" s="11" t="str">
        <f>"004592"</f>
        <v>004592</v>
      </c>
      <c r="T45" s="10">
        <v>43313</v>
      </c>
      <c r="U45" s="14">
        <v>49.995139999999999</v>
      </c>
      <c r="V45" s="14">
        <v>4.8979999999999997</v>
      </c>
      <c r="W45" s="14">
        <v>45.097140000000003</v>
      </c>
      <c r="X45" s="11">
        <v>147</v>
      </c>
      <c r="Y45" s="10">
        <v>43313</v>
      </c>
      <c r="Z45" s="11">
        <v>9620732444</v>
      </c>
      <c r="AA45" s="12" t="s">
        <v>41</v>
      </c>
      <c r="AB45" s="11" t="s">
        <v>132</v>
      </c>
      <c r="AC45" s="12" t="s">
        <v>133</v>
      </c>
      <c r="AD45" s="11" t="s">
        <v>44</v>
      </c>
      <c r="AE45" s="12" t="s">
        <v>45</v>
      </c>
      <c r="AF45" s="14">
        <v>0.49995139999999999</v>
      </c>
      <c r="AG45" s="11" t="s">
        <v>118</v>
      </c>
    </row>
    <row r="46" spans="1:33" x14ac:dyDescent="0.2">
      <c r="A46" s="8">
        <v>4210</v>
      </c>
      <c r="B46" s="9" t="s">
        <v>141</v>
      </c>
      <c r="C46" s="10">
        <v>43313</v>
      </c>
      <c r="D46" s="11">
        <v>62</v>
      </c>
      <c r="E46" s="12" t="s">
        <v>34</v>
      </c>
      <c r="F46" s="12" t="s">
        <v>35</v>
      </c>
      <c r="G46" s="12" t="s">
        <v>36</v>
      </c>
      <c r="H46" s="12" t="s">
        <v>37</v>
      </c>
      <c r="I46" s="11" t="s">
        <v>163</v>
      </c>
      <c r="J46" s="12" t="s">
        <v>164</v>
      </c>
      <c r="K46" s="13" t="s">
        <v>40</v>
      </c>
      <c r="L46" s="11" t="str">
        <f>"000052"</f>
        <v>000052</v>
      </c>
      <c r="M46" s="10">
        <v>43300</v>
      </c>
      <c r="N46" s="11" t="str">
        <f>"000035"</f>
        <v>000035</v>
      </c>
      <c r="O46" s="10">
        <v>43302</v>
      </c>
      <c r="P46" s="11" t="str">
        <f>"000062"</f>
        <v>000062</v>
      </c>
      <c r="Q46" s="10">
        <v>43305</v>
      </c>
      <c r="R46" s="11">
        <v>18</v>
      </c>
      <c r="S46" s="11" t="str">
        <f>"004595"</f>
        <v>004595</v>
      </c>
      <c r="T46" s="10">
        <v>43313</v>
      </c>
      <c r="U46" s="14">
        <v>49.95881</v>
      </c>
      <c r="V46" s="14">
        <v>4.9059999999999997</v>
      </c>
      <c r="W46" s="14">
        <v>45.052810000000001</v>
      </c>
      <c r="X46" s="11">
        <v>147</v>
      </c>
      <c r="Y46" s="10">
        <v>43313</v>
      </c>
      <c r="Z46" s="11">
        <v>9620732444</v>
      </c>
      <c r="AA46" s="12" t="s">
        <v>41</v>
      </c>
      <c r="AB46" s="11" t="s">
        <v>132</v>
      </c>
      <c r="AC46" s="12" t="s">
        <v>133</v>
      </c>
      <c r="AD46" s="11" t="s">
        <v>44</v>
      </c>
      <c r="AE46" s="12" t="s">
        <v>45</v>
      </c>
      <c r="AF46" s="14">
        <v>0.49958809999999998</v>
      </c>
      <c r="AG46" s="11" t="s">
        <v>118</v>
      </c>
    </row>
    <row r="47" spans="1:33" x14ac:dyDescent="0.2">
      <c r="A47" s="8">
        <v>4211</v>
      </c>
      <c r="B47" s="9" t="s">
        <v>141</v>
      </c>
      <c r="C47" s="10">
        <v>43313</v>
      </c>
      <c r="D47" s="11">
        <v>62</v>
      </c>
      <c r="E47" s="12" t="s">
        <v>34</v>
      </c>
      <c r="F47" s="12" t="s">
        <v>35</v>
      </c>
      <c r="G47" s="12" t="s">
        <v>36</v>
      </c>
      <c r="H47" s="12" t="s">
        <v>37</v>
      </c>
      <c r="I47" s="11" t="s">
        <v>165</v>
      </c>
      <c r="J47" s="12" t="s">
        <v>166</v>
      </c>
      <c r="K47" s="13" t="s">
        <v>40</v>
      </c>
      <c r="L47" s="11" t="str">
        <f>"000056"</f>
        <v>000056</v>
      </c>
      <c r="M47" s="10">
        <v>43300</v>
      </c>
      <c r="N47" s="11" t="str">
        <f>"000028"</f>
        <v>000028</v>
      </c>
      <c r="O47" s="10">
        <v>43302</v>
      </c>
      <c r="P47" s="11" t="str">
        <f>"000063"</f>
        <v>000063</v>
      </c>
      <c r="Q47" s="10">
        <v>43305</v>
      </c>
      <c r="R47" s="11">
        <v>18</v>
      </c>
      <c r="S47" s="11" t="str">
        <f>"004598"</f>
        <v>004598</v>
      </c>
      <c r="T47" s="10">
        <v>43313</v>
      </c>
      <c r="U47" s="14">
        <v>49.954979999999999</v>
      </c>
      <c r="V47" s="14">
        <v>4.9085000000000001</v>
      </c>
      <c r="W47" s="14">
        <v>45.046480000000003</v>
      </c>
      <c r="X47" s="11">
        <v>147</v>
      </c>
      <c r="Y47" s="10">
        <v>43313</v>
      </c>
      <c r="Z47" s="11">
        <v>9620732444</v>
      </c>
      <c r="AA47" s="12" t="s">
        <v>41</v>
      </c>
      <c r="AB47" s="11" t="s">
        <v>132</v>
      </c>
      <c r="AC47" s="12" t="s">
        <v>133</v>
      </c>
      <c r="AD47" s="11" t="s">
        <v>44</v>
      </c>
      <c r="AE47" s="12" t="s">
        <v>45</v>
      </c>
      <c r="AF47" s="14">
        <v>0.49954979999999999</v>
      </c>
      <c r="AG47" s="11" t="s">
        <v>118</v>
      </c>
    </row>
    <row r="48" spans="1:33" x14ac:dyDescent="0.2">
      <c r="A48" s="8">
        <v>4212</v>
      </c>
      <c r="B48" s="9" t="s">
        <v>141</v>
      </c>
      <c r="C48" s="10">
        <v>43313</v>
      </c>
      <c r="D48" s="11">
        <v>62</v>
      </c>
      <c r="E48" s="12" t="s">
        <v>34</v>
      </c>
      <c r="F48" s="12" t="s">
        <v>35</v>
      </c>
      <c r="G48" s="12" t="s">
        <v>36</v>
      </c>
      <c r="H48" s="12" t="s">
        <v>37</v>
      </c>
      <c r="I48" s="11" t="s">
        <v>167</v>
      </c>
      <c r="J48" s="12" t="s">
        <v>168</v>
      </c>
      <c r="K48" s="13" t="s">
        <v>40</v>
      </c>
      <c r="L48" s="11" t="str">
        <f>"000061"</f>
        <v>000061</v>
      </c>
      <c r="M48" s="10">
        <v>43300</v>
      </c>
      <c r="N48" s="11" t="str">
        <f>"000034"</f>
        <v>000034</v>
      </c>
      <c r="O48" s="10">
        <v>43302</v>
      </c>
      <c r="P48" s="11" t="str">
        <f>"000049"</f>
        <v>000049</v>
      </c>
      <c r="Q48" s="10">
        <v>43305</v>
      </c>
      <c r="R48" s="11">
        <v>18</v>
      </c>
      <c r="S48" s="11" t="str">
        <f>"004599"</f>
        <v>004599</v>
      </c>
      <c r="T48" s="10">
        <v>43313</v>
      </c>
      <c r="U48" s="14">
        <v>49.695140000000002</v>
      </c>
      <c r="V48" s="14">
        <v>4.8840000000000003</v>
      </c>
      <c r="W48" s="14">
        <v>44.811140000000002</v>
      </c>
      <c r="X48" s="11">
        <v>147</v>
      </c>
      <c r="Y48" s="10">
        <v>43313</v>
      </c>
      <c r="Z48" s="11">
        <v>9620732444</v>
      </c>
      <c r="AA48" s="12" t="s">
        <v>41</v>
      </c>
      <c r="AB48" s="11" t="s">
        <v>132</v>
      </c>
      <c r="AC48" s="12" t="s">
        <v>133</v>
      </c>
      <c r="AD48" s="11" t="s">
        <v>44</v>
      </c>
      <c r="AE48" s="12" t="s">
        <v>45</v>
      </c>
      <c r="AF48" s="14">
        <v>0.49695140000000004</v>
      </c>
      <c r="AG48" s="11" t="s">
        <v>118</v>
      </c>
    </row>
    <row r="49" spans="1:33" x14ac:dyDescent="0.2">
      <c r="A49" s="8">
        <v>4213</v>
      </c>
      <c r="B49" s="9" t="s">
        <v>141</v>
      </c>
      <c r="C49" s="10">
        <v>43313</v>
      </c>
      <c r="D49" s="11">
        <v>62</v>
      </c>
      <c r="E49" s="12" t="s">
        <v>34</v>
      </c>
      <c r="F49" s="12" t="s">
        <v>35</v>
      </c>
      <c r="G49" s="12" t="s">
        <v>36</v>
      </c>
      <c r="H49" s="12" t="s">
        <v>37</v>
      </c>
      <c r="I49" s="11" t="s">
        <v>169</v>
      </c>
      <c r="J49" s="12" t="s">
        <v>170</v>
      </c>
      <c r="K49" s="13" t="s">
        <v>40</v>
      </c>
      <c r="L49" s="11" t="str">
        <f>"000058"</f>
        <v>000058</v>
      </c>
      <c r="M49" s="10">
        <v>43300</v>
      </c>
      <c r="N49" s="11" t="str">
        <f>"000024"</f>
        <v>000024</v>
      </c>
      <c r="O49" s="10">
        <v>43302</v>
      </c>
      <c r="P49" s="11" t="str">
        <f>"000052"</f>
        <v>000052</v>
      </c>
      <c r="Q49" s="10">
        <v>43305</v>
      </c>
      <c r="R49" s="11">
        <v>18</v>
      </c>
      <c r="S49" s="11" t="str">
        <f>"004600"</f>
        <v>004600</v>
      </c>
      <c r="T49" s="10">
        <v>43313</v>
      </c>
      <c r="U49" s="14">
        <v>49.952419999999996</v>
      </c>
      <c r="V49" s="14">
        <v>4.9050000000000002</v>
      </c>
      <c r="W49" s="14">
        <v>45.047420000000002</v>
      </c>
      <c r="X49" s="11">
        <v>147</v>
      </c>
      <c r="Y49" s="10">
        <v>43313</v>
      </c>
      <c r="Z49" s="11">
        <v>9620732444</v>
      </c>
      <c r="AA49" s="12" t="s">
        <v>41</v>
      </c>
      <c r="AB49" s="11" t="s">
        <v>132</v>
      </c>
      <c r="AC49" s="12" t="s">
        <v>133</v>
      </c>
      <c r="AD49" s="11" t="s">
        <v>44</v>
      </c>
      <c r="AE49" s="12" t="s">
        <v>45</v>
      </c>
      <c r="AF49" s="14">
        <v>0.49952419999999997</v>
      </c>
      <c r="AG49" s="11" t="s">
        <v>118</v>
      </c>
    </row>
    <row r="50" spans="1:33" x14ac:dyDescent="0.2">
      <c r="A50" s="8">
        <v>4223</v>
      </c>
      <c r="B50" s="9" t="s">
        <v>141</v>
      </c>
      <c r="C50" s="10">
        <v>43314</v>
      </c>
      <c r="D50" s="11">
        <v>62</v>
      </c>
      <c r="E50" s="12" t="s">
        <v>34</v>
      </c>
      <c r="F50" s="12" t="s">
        <v>35</v>
      </c>
      <c r="G50" s="12" t="s">
        <v>36</v>
      </c>
      <c r="H50" s="12" t="s">
        <v>37</v>
      </c>
      <c r="I50" s="11" t="s">
        <v>171</v>
      </c>
      <c r="J50" s="12" t="s">
        <v>172</v>
      </c>
      <c r="K50" s="13" t="s">
        <v>40</v>
      </c>
      <c r="L50" s="11" t="str">
        <f>"000019"</f>
        <v>000019</v>
      </c>
      <c r="M50" s="10">
        <v>43258</v>
      </c>
      <c r="N50" s="11" t="str">
        <f>"000014"</f>
        <v>000014</v>
      </c>
      <c r="O50" s="10">
        <v>42460</v>
      </c>
      <c r="P50" s="11" t="str">
        <f>"254"</f>
        <v>254</v>
      </c>
      <c r="Q50" s="10">
        <v>42453</v>
      </c>
      <c r="R50" s="11">
        <v>15</v>
      </c>
      <c r="S50" s="11" t="str">
        <f>"004486"</f>
        <v>004486</v>
      </c>
      <c r="T50" s="10">
        <v>43308</v>
      </c>
      <c r="U50" s="14">
        <v>9.8896999999999995</v>
      </c>
      <c r="V50" s="14">
        <v>1.3771500000000001</v>
      </c>
      <c r="W50" s="14">
        <v>8.5125499999999992</v>
      </c>
      <c r="X50" s="11">
        <v>151</v>
      </c>
      <c r="Y50" s="10">
        <v>43314</v>
      </c>
      <c r="Z50" s="11">
        <v>9845578686</v>
      </c>
      <c r="AA50" s="12" t="s">
        <v>173</v>
      </c>
      <c r="AB50" s="11" t="s">
        <v>51</v>
      </c>
      <c r="AC50" s="12" t="s">
        <v>52</v>
      </c>
      <c r="AD50" s="11" t="s">
        <v>44</v>
      </c>
      <c r="AE50" s="12" t="s">
        <v>45</v>
      </c>
      <c r="AF50" s="14">
        <v>9.8896999999999999E-2</v>
      </c>
      <c r="AG50" s="11" t="s">
        <v>59</v>
      </c>
    </row>
    <row r="51" spans="1:33" x14ac:dyDescent="0.2">
      <c r="A51" s="8">
        <v>4224</v>
      </c>
      <c r="B51" s="9" t="s">
        <v>141</v>
      </c>
      <c r="C51" s="10">
        <v>43314</v>
      </c>
      <c r="D51" s="11">
        <v>62</v>
      </c>
      <c r="E51" s="12" t="s">
        <v>34</v>
      </c>
      <c r="F51" s="12" t="s">
        <v>35</v>
      </c>
      <c r="G51" s="12" t="s">
        <v>36</v>
      </c>
      <c r="H51" s="12" t="s">
        <v>37</v>
      </c>
      <c r="I51" s="11" t="s">
        <v>174</v>
      </c>
      <c r="J51" s="12" t="s">
        <v>175</v>
      </c>
      <c r="K51" s="13" t="s">
        <v>40</v>
      </c>
      <c r="L51" s="11" t="str">
        <f>"000020"</f>
        <v>000020</v>
      </c>
      <c r="M51" s="10">
        <v>43258</v>
      </c>
      <c r="N51" s="11" t="str">
        <f>"000015"</f>
        <v>000015</v>
      </c>
      <c r="O51" s="10">
        <v>42460</v>
      </c>
      <c r="P51" s="11" t="str">
        <f>"255"</f>
        <v>255</v>
      </c>
      <c r="Q51" s="10">
        <v>42453</v>
      </c>
      <c r="R51" s="11">
        <v>15</v>
      </c>
      <c r="S51" s="11" t="str">
        <f>"004487"</f>
        <v>004487</v>
      </c>
      <c r="T51" s="10">
        <v>43308</v>
      </c>
      <c r="U51" s="14">
        <v>9.7962799999999994</v>
      </c>
      <c r="V51" s="14">
        <v>1.3646499999999999</v>
      </c>
      <c r="W51" s="14">
        <v>8.4316300000000002</v>
      </c>
      <c r="X51" s="11">
        <v>151</v>
      </c>
      <c r="Y51" s="10">
        <v>43314</v>
      </c>
      <c r="Z51" s="11">
        <v>9845578686</v>
      </c>
      <c r="AA51" s="12" t="s">
        <v>176</v>
      </c>
      <c r="AB51" s="11" t="s">
        <v>51</v>
      </c>
      <c r="AC51" s="12" t="s">
        <v>52</v>
      </c>
      <c r="AD51" s="11" t="s">
        <v>44</v>
      </c>
      <c r="AE51" s="12" t="s">
        <v>45</v>
      </c>
      <c r="AF51" s="14">
        <v>9.7962799999999989E-2</v>
      </c>
      <c r="AG51" s="11" t="s">
        <v>59</v>
      </c>
    </row>
    <row r="52" spans="1:33" x14ac:dyDescent="0.2">
      <c r="A52" s="8">
        <v>4339</v>
      </c>
      <c r="B52" s="9" t="s">
        <v>141</v>
      </c>
      <c r="C52" s="10">
        <v>43316</v>
      </c>
      <c r="D52" s="11">
        <v>62</v>
      </c>
      <c r="E52" s="12" t="s">
        <v>34</v>
      </c>
      <c r="F52" s="12" t="s">
        <v>35</v>
      </c>
      <c r="G52" s="12" t="s">
        <v>36</v>
      </c>
      <c r="H52" s="12" t="s">
        <v>37</v>
      </c>
      <c r="I52" s="11" t="s">
        <v>177</v>
      </c>
      <c r="J52" s="12" t="s">
        <v>178</v>
      </c>
      <c r="K52" s="13" t="s">
        <v>40</v>
      </c>
      <c r="L52" s="11" t="str">
        <f>"000066"</f>
        <v>000066</v>
      </c>
      <c r="M52" s="10">
        <v>43300</v>
      </c>
      <c r="N52" s="11" t="str">
        <f>"000030"</f>
        <v>000030</v>
      </c>
      <c r="O52" s="10">
        <v>43302</v>
      </c>
      <c r="P52" s="11" t="str">
        <f>"000059"</f>
        <v>000059</v>
      </c>
      <c r="Q52" s="10">
        <v>43305</v>
      </c>
      <c r="R52" s="11">
        <v>18</v>
      </c>
      <c r="S52" s="11" t="str">
        <f>"004738"</f>
        <v>004738</v>
      </c>
      <c r="T52" s="10">
        <v>43314</v>
      </c>
      <c r="U52" s="14">
        <v>49.931919999999998</v>
      </c>
      <c r="V52" s="14">
        <v>4.9085000000000001</v>
      </c>
      <c r="W52" s="14">
        <v>45.023420000000002</v>
      </c>
      <c r="X52" s="11">
        <v>155</v>
      </c>
      <c r="Y52" s="10">
        <v>43316</v>
      </c>
      <c r="Z52" s="11">
        <v>9620732444</v>
      </c>
      <c r="AA52" s="12" t="s">
        <v>41</v>
      </c>
      <c r="AB52" s="11" t="s">
        <v>132</v>
      </c>
      <c r="AC52" s="12" t="s">
        <v>133</v>
      </c>
      <c r="AD52" s="11" t="s">
        <v>44</v>
      </c>
      <c r="AE52" s="12" t="s">
        <v>45</v>
      </c>
      <c r="AF52" s="14">
        <v>0.49931919999999996</v>
      </c>
      <c r="AG52" s="11" t="s">
        <v>118</v>
      </c>
    </row>
    <row r="53" spans="1:33" x14ac:dyDescent="0.2">
      <c r="A53" s="8">
        <v>4340</v>
      </c>
      <c r="B53" s="9" t="s">
        <v>141</v>
      </c>
      <c r="C53" s="10">
        <v>43316</v>
      </c>
      <c r="D53" s="11">
        <v>62</v>
      </c>
      <c r="E53" s="12" t="s">
        <v>34</v>
      </c>
      <c r="F53" s="12" t="s">
        <v>35</v>
      </c>
      <c r="G53" s="12" t="s">
        <v>36</v>
      </c>
      <c r="H53" s="12" t="s">
        <v>37</v>
      </c>
      <c r="I53" s="11" t="s">
        <v>179</v>
      </c>
      <c r="J53" s="12" t="s">
        <v>180</v>
      </c>
      <c r="K53" s="13" t="s">
        <v>49</v>
      </c>
      <c r="L53" s="11" t="str">
        <f>"000017"</f>
        <v>000017</v>
      </c>
      <c r="M53" s="10">
        <v>43200</v>
      </c>
      <c r="N53" s="11" t="str">
        <f>"000013"</f>
        <v>000013</v>
      </c>
      <c r="O53" s="10">
        <v>43283</v>
      </c>
      <c r="P53" s="11" t="str">
        <f>"000037"</f>
        <v>000037</v>
      </c>
      <c r="Q53" s="10">
        <v>43283</v>
      </c>
      <c r="R53" s="11">
        <v>18</v>
      </c>
      <c r="S53" s="11" t="str">
        <f>"004739"</f>
        <v>004739</v>
      </c>
      <c r="T53" s="10">
        <v>43314</v>
      </c>
      <c r="U53" s="14">
        <v>6.3809199999999997</v>
      </c>
      <c r="V53" s="14">
        <v>0.63739999999999997</v>
      </c>
      <c r="W53" s="14">
        <v>5.7435200000000002</v>
      </c>
      <c r="X53" s="11">
        <v>155</v>
      </c>
      <c r="Y53" s="10">
        <v>43316</v>
      </c>
      <c r="Z53" s="11">
        <v>9856235698</v>
      </c>
      <c r="AA53" s="12" t="s">
        <v>41</v>
      </c>
      <c r="AB53" s="11" t="s">
        <v>132</v>
      </c>
      <c r="AC53" s="12" t="s">
        <v>133</v>
      </c>
      <c r="AD53" s="11" t="s">
        <v>44</v>
      </c>
      <c r="AE53" s="12" t="s">
        <v>45</v>
      </c>
      <c r="AF53" s="14">
        <v>6.3809199999999996E-2</v>
      </c>
      <c r="AG53" s="11" t="s">
        <v>118</v>
      </c>
    </row>
    <row r="54" spans="1:33" x14ac:dyDescent="0.2">
      <c r="A54" s="8">
        <v>4440</v>
      </c>
      <c r="B54" s="9" t="s">
        <v>141</v>
      </c>
      <c r="C54" s="10">
        <v>43318</v>
      </c>
      <c r="D54" s="11">
        <v>62</v>
      </c>
      <c r="E54" s="12" t="s">
        <v>34</v>
      </c>
      <c r="F54" s="12" t="s">
        <v>35</v>
      </c>
      <c r="G54" s="12" t="s">
        <v>36</v>
      </c>
      <c r="H54" s="12" t="s">
        <v>37</v>
      </c>
      <c r="I54" s="11" t="s">
        <v>181</v>
      </c>
      <c r="J54" s="12" t="s">
        <v>182</v>
      </c>
      <c r="K54" s="13" t="s">
        <v>77</v>
      </c>
      <c r="L54" s="11" t="str">
        <f>"000056"</f>
        <v>000056</v>
      </c>
      <c r="M54" s="10">
        <v>42986</v>
      </c>
      <c r="N54" s="11" t="str">
        <f>"000169"</f>
        <v>000169</v>
      </c>
      <c r="O54" s="10">
        <v>42916</v>
      </c>
      <c r="P54" s="11" t="str">
        <f>"000037"</f>
        <v>000037</v>
      </c>
      <c r="Q54" s="10">
        <v>42991</v>
      </c>
      <c r="R54" s="11">
        <v>17</v>
      </c>
      <c r="S54" s="11" t="str">
        <f>"004702"</f>
        <v>004702</v>
      </c>
      <c r="T54" s="10">
        <v>43314</v>
      </c>
      <c r="U54" s="14">
        <v>4.9470000000000001</v>
      </c>
      <c r="V54" s="14">
        <v>0.59524999999999995</v>
      </c>
      <c r="W54" s="14">
        <v>4.35175</v>
      </c>
      <c r="X54" s="11">
        <v>160</v>
      </c>
      <c r="Y54" s="10">
        <v>43318</v>
      </c>
      <c r="Z54" s="11">
        <v>9448049099</v>
      </c>
      <c r="AA54" s="12" t="s">
        <v>183</v>
      </c>
      <c r="AB54" s="11" t="s">
        <v>51</v>
      </c>
      <c r="AC54" s="12" t="s">
        <v>52</v>
      </c>
      <c r="AD54" s="11" t="s">
        <v>44</v>
      </c>
      <c r="AE54" s="12" t="s">
        <v>45</v>
      </c>
      <c r="AF54" s="14">
        <v>4.947E-2</v>
      </c>
      <c r="AG54" s="11" t="s">
        <v>46</v>
      </c>
    </row>
    <row r="55" spans="1:33" x14ac:dyDescent="0.2">
      <c r="A55" s="8">
        <v>4672</v>
      </c>
      <c r="B55" s="9" t="s">
        <v>141</v>
      </c>
      <c r="C55" s="10">
        <v>43325</v>
      </c>
      <c r="D55" s="11">
        <v>62</v>
      </c>
      <c r="E55" s="12" t="s">
        <v>34</v>
      </c>
      <c r="F55" s="12" t="s">
        <v>35</v>
      </c>
      <c r="G55" s="12" t="s">
        <v>36</v>
      </c>
      <c r="H55" s="12" t="s">
        <v>37</v>
      </c>
      <c r="I55" s="11" t="s">
        <v>184</v>
      </c>
      <c r="J55" s="12" t="s">
        <v>185</v>
      </c>
      <c r="K55" s="13" t="s">
        <v>49</v>
      </c>
      <c r="L55" s="11" t="str">
        <f>"000228"</f>
        <v>000228</v>
      </c>
      <c r="M55" s="10">
        <v>43171</v>
      </c>
      <c r="N55" s="11" t="str">
        <f>"000068"</f>
        <v>000068</v>
      </c>
      <c r="O55" s="10">
        <v>43171</v>
      </c>
      <c r="P55" s="11" t="str">
        <f>"000281"</f>
        <v>000281</v>
      </c>
      <c r="Q55" s="10">
        <v>43174</v>
      </c>
      <c r="R55" s="11">
        <v>17</v>
      </c>
      <c r="S55" s="11" t="str">
        <f>"004059"</f>
        <v>004059</v>
      </c>
      <c r="T55" s="10">
        <v>43301</v>
      </c>
      <c r="U55" s="14">
        <v>9.7157400000000003</v>
      </c>
      <c r="V55" s="14">
        <v>0.496</v>
      </c>
      <c r="W55" s="14">
        <v>9.2197399999999998</v>
      </c>
      <c r="X55" s="11">
        <v>166</v>
      </c>
      <c r="Y55" s="10">
        <v>43325</v>
      </c>
      <c r="Z55" s="11">
        <v>9686538999</v>
      </c>
      <c r="AA55" s="12" t="s">
        <v>186</v>
      </c>
      <c r="AB55" s="11" t="s">
        <v>100</v>
      </c>
      <c r="AC55" s="12" t="s">
        <v>101</v>
      </c>
      <c r="AD55" s="11" t="s">
        <v>44</v>
      </c>
      <c r="AE55" s="12" t="s">
        <v>45</v>
      </c>
      <c r="AF55" s="14">
        <v>9.7157400000000005E-2</v>
      </c>
      <c r="AG55" s="11" t="s">
        <v>46</v>
      </c>
    </row>
    <row r="56" spans="1:33" x14ac:dyDescent="0.2">
      <c r="A56" s="8">
        <v>4673</v>
      </c>
      <c r="B56" s="9" t="s">
        <v>141</v>
      </c>
      <c r="C56" s="10">
        <v>43325</v>
      </c>
      <c r="D56" s="11">
        <v>62</v>
      </c>
      <c r="E56" s="12" t="s">
        <v>34</v>
      </c>
      <c r="F56" s="12" t="s">
        <v>35</v>
      </c>
      <c r="G56" s="12" t="s">
        <v>36</v>
      </c>
      <c r="H56" s="12" t="s">
        <v>37</v>
      </c>
      <c r="I56" s="11" t="s">
        <v>187</v>
      </c>
      <c r="J56" s="12" t="s">
        <v>188</v>
      </c>
      <c r="K56" s="13" t="s">
        <v>49</v>
      </c>
      <c r="L56" s="11" t="str">
        <f>"000034"</f>
        <v>000034</v>
      </c>
      <c r="M56" s="10">
        <v>43290</v>
      </c>
      <c r="N56" s="11" t="str">
        <f>"000016"</f>
        <v>000016</v>
      </c>
      <c r="O56" s="10">
        <v>43290</v>
      </c>
      <c r="P56" s="11" t="str">
        <f>"000040"</f>
        <v>000040</v>
      </c>
      <c r="Q56" s="10">
        <v>43291</v>
      </c>
      <c r="R56" s="11">
        <v>18</v>
      </c>
      <c r="S56" s="11" t="str">
        <f>"004284"</f>
        <v>004284</v>
      </c>
      <c r="T56" s="10">
        <v>43306</v>
      </c>
      <c r="U56" s="14">
        <v>19.993559999999999</v>
      </c>
      <c r="V56" s="14">
        <v>2.0223</v>
      </c>
      <c r="W56" s="14">
        <v>17.971260000000001</v>
      </c>
      <c r="X56" s="11">
        <v>166</v>
      </c>
      <c r="Y56" s="10">
        <v>43325</v>
      </c>
      <c r="Z56" s="11">
        <v>9856231245</v>
      </c>
      <c r="AA56" s="12" t="s">
        <v>41</v>
      </c>
      <c r="AB56" s="11" t="s">
        <v>72</v>
      </c>
      <c r="AC56" s="12" t="s">
        <v>73</v>
      </c>
      <c r="AD56" s="11" t="s">
        <v>44</v>
      </c>
      <c r="AE56" s="12" t="s">
        <v>45</v>
      </c>
      <c r="AF56" s="14">
        <v>0.19993559999999999</v>
      </c>
      <c r="AG56" s="11" t="s">
        <v>118</v>
      </c>
    </row>
    <row r="57" spans="1:33" x14ac:dyDescent="0.2">
      <c r="A57" s="8">
        <v>4674</v>
      </c>
      <c r="B57" s="9" t="s">
        <v>141</v>
      </c>
      <c r="C57" s="10">
        <v>43325</v>
      </c>
      <c r="D57" s="11">
        <v>62</v>
      </c>
      <c r="E57" s="12" t="s">
        <v>34</v>
      </c>
      <c r="F57" s="12" t="s">
        <v>35</v>
      </c>
      <c r="G57" s="12" t="s">
        <v>36</v>
      </c>
      <c r="H57" s="12" t="s">
        <v>37</v>
      </c>
      <c r="I57" s="11" t="s">
        <v>189</v>
      </c>
      <c r="J57" s="12" t="s">
        <v>190</v>
      </c>
      <c r="K57" s="13" t="s">
        <v>49</v>
      </c>
      <c r="L57" s="11" t="str">
        <f>"000035"</f>
        <v>000035</v>
      </c>
      <c r="M57" s="10">
        <v>43290</v>
      </c>
      <c r="N57" s="11" t="str">
        <f>"000014"</f>
        <v>000014</v>
      </c>
      <c r="O57" s="10">
        <v>43290</v>
      </c>
      <c r="P57" s="11" t="str">
        <f>"000042"</f>
        <v>000042</v>
      </c>
      <c r="Q57" s="10">
        <v>43291</v>
      </c>
      <c r="R57" s="11">
        <v>18</v>
      </c>
      <c r="S57" s="11" t="str">
        <f>"004287"</f>
        <v>004287</v>
      </c>
      <c r="T57" s="10">
        <v>43306</v>
      </c>
      <c r="U57" s="14">
        <v>39.9636</v>
      </c>
      <c r="V57" s="14">
        <v>4.4428999999999998</v>
      </c>
      <c r="W57" s="14">
        <v>35.520699999999998</v>
      </c>
      <c r="X57" s="11">
        <v>166</v>
      </c>
      <c r="Y57" s="10">
        <v>43325</v>
      </c>
      <c r="Z57" s="11">
        <v>9856235698</v>
      </c>
      <c r="AA57" s="12" t="s">
        <v>41</v>
      </c>
      <c r="AB57" s="11" t="s">
        <v>72</v>
      </c>
      <c r="AC57" s="12" t="s">
        <v>73</v>
      </c>
      <c r="AD57" s="11" t="s">
        <v>44</v>
      </c>
      <c r="AE57" s="12" t="s">
        <v>45</v>
      </c>
      <c r="AF57" s="14">
        <v>0.39963599999999999</v>
      </c>
      <c r="AG57" s="11" t="s">
        <v>118</v>
      </c>
    </row>
    <row r="58" spans="1:33" x14ac:dyDescent="0.2">
      <c r="A58" s="8">
        <v>4789</v>
      </c>
      <c r="B58" s="9" t="s">
        <v>141</v>
      </c>
      <c r="C58" s="10">
        <v>43326</v>
      </c>
      <c r="D58" s="11">
        <v>62</v>
      </c>
      <c r="E58" s="12" t="s">
        <v>34</v>
      </c>
      <c r="F58" s="12" t="s">
        <v>35</v>
      </c>
      <c r="G58" s="12" t="s">
        <v>36</v>
      </c>
      <c r="H58" s="12" t="s">
        <v>37</v>
      </c>
      <c r="I58" s="11" t="s">
        <v>191</v>
      </c>
      <c r="J58" s="12" t="s">
        <v>192</v>
      </c>
      <c r="K58" s="13" t="s">
        <v>40</v>
      </c>
      <c r="L58" s="11" t="str">
        <f>"100100"</f>
        <v>100100</v>
      </c>
      <c r="M58" s="10">
        <v>42207</v>
      </c>
      <c r="N58" s="11" t="str">
        <f>"000015"</f>
        <v>000015</v>
      </c>
      <c r="O58" s="10">
        <v>42487</v>
      </c>
      <c r="P58" s="11" t="str">
        <f>"000033"</f>
        <v>000033</v>
      </c>
      <c r="Q58" s="10">
        <v>42490</v>
      </c>
      <c r="R58" s="11">
        <v>13</v>
      </c>
      <c r="S58" s="11" t="str">
        <f>"004985"</f>
        <v>004985</v>
      </c>
      <c r="T58" s="10">
        <v>43320</v>
      </c>
      <c r="U58" s="14">
        <v>3.1392699999999998</v>
      </c>
      <c r="V58" s="14">
        <v>0.43830000000000002</v>
      </c>
      <c r="W58" s="14">
        <v>2.7009699999999999</v>
      </c>
      <c r="X58" s="11">
        <v>170</v>
      </c>
      <c r="Y58" s="10">
        <v>43326</v>
      </c>
      <c r="Z58" s="11">
        <v>9984546580</v>
      </c>
      <c r="AA58" s="12" t="s">
        <v>193</v>
      </c>
      <c r="AB58" s="11" t="s">
        <v>51</v>
      </c>
      <c r="AC58" s="12" t="s">
        <v>52</v>
      </c>
      <c r="AD58" s="11" t="s">
        <v>44</v>
      </c>
      <c r="AE58" s="12" t="s">
        <v>45</v>
      </c>
      <c r="AF58" s="14">
        <v>3.1392699999999996E-2</v>
      </c>
      <c r="AG58" s="11" t="s">
        <v>46</v>
      </c>
    </row>
    <row r="59" spans="1:33" x14ac:dyDescent="0.2">
      <c r="A59" s="8">
        <v>4790</v>
      </c>
      <c r="B59" s="9" t="s">
        <v>141</v>
      </c>
      <c r="C59" s="10">
        <v>43326</v>
      </c>
      <c r="D59" s="11">
        <v>62</v>
      </c>
      <c r="E59" s="12" t="s">
        <v>34</v>
      </c>
      <c r="F59" s="12" t="s">
        <v>35</v>
      </c>
      <c r="G59" s="12" t="s">
        <v>36</v>
      </c>
      <c r="H59" s="12" t="s">
        <v>37</v>
      </c>
      <c r="I59" s="11" t="s">
        <v>194</v>
      </c>
      <c r="J59" s="12" t="s">
        <v>195</v>
      </c>
      <c r="K59" s="13" t="s">
        <v>49</v>
      </c>
      <c r="L59" s="11" t="str">
        <f>"100101"</f>
        <v>100101</v>
      </c>
      <c r="M59" s="10">
        <v>42207</v>
      </c>
      <c r="N59" s="11" t="str">
        <f>"000016"</f>
        <v>000016</v>
      </c>
      <c r="O59" s="10">
        <v>42487</v>
      </c>
      <c r="P59" s="11" t="str">
        <f>"000034"</f>
        <v>000034</v>
      </c>
      <c r="Q59" s="10">
        <v>42490</v>
      </c>
      <c r="R59" s="11">
        <v>13</v>
      </c>
      <c r="S59" s="11" t="str">
        <f>"004986"</f>
        <v>004986</v>
      </c>
      <c r="T59" s="10">
        <v>43320</v>
      </c>
      <c r="U59" s="14">
        <v>4.1941600000000001</v>
      </c>
      <c r="V59" s="14">
        <v>0.56640000000000001</v>
      </c>
      <c r="W59" s="14">
        <v>3.6277599999999999</v>
      </c>
      <c r="X59" s="11">
        <v>170</v>
      </c>
      <c r="Y59" s="10">
        <v>43326</v>
      </c>
      <c r="Z59" s="11">
        <v>9845659889</v>
      </c>
      <c r="AA59" s="12" t="s">
        <v>196</v>
      </c>
      <c r="AB59" s="11" t="s">
        <v>51</v>
      </c>
      <c r="AC59" s="12" t="s">
        <v>52</v>
      </c>
      <c r="AD59" s="11" t="s">
        <v>44</v>
      </c>
      <c r="AE59" s="12" t="s">
        <v>45</v>
      </c>
      <c r="AF59" s="14">
        <v>4.1941600000000002E-2</v>
      </c>
      <c r="AG59" s="11" t="s">
        <v>46</v>
      </c>
    </row>
    <row r="60" spans="1:33" x14ac:dyDescent="0.2">
      <c r="A60" s="8">
        <v>4791</v>
      </c>
      <c r="B60" s="9" t="s">
        <v>141</v>
      </c>
      <c r="C60" s="10">
        <v>43326</v>
      </c>
      <c r="D60" s="11">
        <v>62</v>
      </c>
      <c r="E60" s="12" t="s">
        <v>34</v>
      </c>
      <c r="F60" s="12" t="s">
        <v>35</v>
      </c>
      <c r="G60" s="12" t="s">
        <v>36</v>
      </c>
      <c r="H60" s="12" t="s">
        <v>37</v>
      </c>
      <c r="I60" s="11" t="s">
        <v>197</v>
      </c>
      <c r="J60" s="12" t="s">
        <v>198</v>
      </c>
      <c r="K60" s="13" t="s">
        <v>40</v>
      </c>
      <c r="L60" s="11" t="str">
        <f>"100102"</f>
        <v>100102</v>
      </c>
      <c r="M60" s="10">
        <v>42207</v>
      </c>
      <c r="N60" s="11" t="str">
        <f>"000017"</f>
        <v>000017</v>
      </c>
      <c r="O60" s="10">
        <v>42487</v>
      </c>
      <c r="P60" s="11" t="str">
        <f>"000035"</f>
        <v>000035</v>
      </c>
      <c r="Q60" s="10">
        <v>42490</v>
      </c>
      <c r="R60" s="11">
        <v>13</v>
      </c>
      <c r="S60" s="11" t="str">
        <f>"004987"</f>
        <v>004987</v>
      </c>
      <c r="T60" s="10">
        <v>43320</v>
      </c>
      <c r="U60" s="14">
        <v>3.1392699999999998</v>
      </c>
      <c r="V60" s="14">
        <v>0.43830000000000002</v>
      </c>
      <c r="W60" s="14">
        <v>2.7009699999999999</v>
      </c>
      <c r="X60" s="11">
        <v>170</v>
      </c>
      <c r="Y60" s="10">
        <v>43326</v>
      </c>
      <c r="Z60" s="11">
        <v>9854565989</v>
      </c>
      <c r="AA60" s="12" t="s">
        <v>196</v>
      </c>
      <c r="AB60" s="11" t="s">
        <v>51</v>
      </c>
      <c r="AC60" s="12" t="s">
        <v>52</v>
      </c>
      <c r="AD60" s="11" t="s">
        <v>44</v>
      </c>
      <c r="AE60" s="12" t="s">
        <v>45</v>
      </c>
      <c r="AF60" s="14">
        <v>3.1392699999999996E-2</v>
      </c>
      <c r="AG60" s="11" t="s">
        <v>46</v>
      </c>
    </row>
    <row r="61" spans="1:33" x14ac:dyDescent="0.2">
      <c r="A61" s="8">
        <v>4792</v>
      </c>
      <c r="B61" s="9" t="s">
        <v>141</v>
      </c>
      <c r="C61" s="10">
        <v>43326</v>
      </c>
      <c r="D61" s="11">
        <v>62</v>
      </c>
      <c r="E61" s="12" t="s">
        <v>34</v>
      </c>
      <c r="F61" s="12" t="s">
        <v>35</v>
      </c>
      <c r="G61" s="12" t="s">
        <v>36</v>
      </c>
      <c r="H61" s="12" t="s">
        <v>37</v>
      </c>
      <c r="I61" s="11" t="s">
        <v>199</v>
      </c>
      <c r="J61" s="12" t="s">
        <v>200</v>
      </c>
      <c r="K61" s="13" t="s">
        <v>77</v>
      </c>
      <c r="L61" s="11" t="str">
        <f>"000154"</f>
        <v>000154</v>
      </c>
      <c r="M61" s="10">
        <v>43038</v>
      </c>
      <c r="N61" s="11" t="str">
        <f>"000009"</f>
        <v>000009</v>
      </c>
      <c r="O61" s="10">
        <v>43040</v>
      </c>
      <c r="P61" s="11" t="str">
        <f>"000194"</f>
        <v>000194</v>
      </c>
      <c r="Q61" s="10">
        <v>43041</v>
      </c>
      <c r="R61" s="11">
        <v>17</v>
      </c>
      <c r="S61" s="11" t="str">
        <f>"005074"</f>
        <v>005074</v>
      </c>
      <c r="T61" s="10">
        <v>43322</v>
      </c>
      <c r="U61" s="14">
        <v>10.444459999999999</v>
      </c>
      <c r="V61" s="14">
        <v>1.0557000000000001</v>
      </c>
      <c r="W61" s="14">
        <v>9.3887599999999996</v>
      </c>
      <c r="X61" s="11">
        <v>171</v>
      </c>
      <c r="Y61" s="10">
        <v>43326</v>
      </c>
      <c r="Z61" s="11">
        <v>9856236598</v>
      </c>
      <c r="AA61" s="12" t="s">
        <v>56</v>
      </c>
      <c r="AB61" s="11" t="s">
        <v>201</v>
      </c>
      <c r="AC61" s="12" t="s">
        <v>202</v>
      </c>
      <c r="AD61" s="11" t="s">
        <v>44</v>
      </c>
      <c r="AE61" s="12" t="s">
        <v>45</v>
      </c>
      <c r="AF61" s="14">
        <v>0.1044446</v>
      </c>
      <c r="AG61" s="11" t="s">
        <v>46</v>
      </c>
    </row>
    <row r="62" spans="1:33" x14ac:dyDescent="0.2">
      <c r="A62" s="8">
        <v>4793</v>
      </c>
      <c r="B62" s="9" t="s">
        <v>141</v>
      </c>
      <c r="C62" s="10">
        <v>43326</v>
      </c>
      <c r="D62" s="11">
        <v>62</v>
      </c>
      <c r="E62" s="12" t="s">
        <v>34</v>
      </c>
      <c r="F62" s="12" t="s">
        <v>35</v>
      </c>
      <c r="G62" s="12" t="s">
        <v>36</v>
      </c>
      <c r="H62" s="12" t="s">
        <v>37</v>
      </c>
      <c r="I62" s="11" t="s">
        <v>203</v>
      </c>
      <c r="J62" s="12" t="s">
        <v>204</v>
      </c>
      <c r="K62" s="13" t="s">
        <v>77</v>
      </c>
      <c r="L62" s="11" t="str">
        <f>"000153"</f>
        <v>000153</v>
      </c>
      <c r="M62" s="10">
        <v>43038</v>
      </c>
      <c r="N62" s="11" t="str">
        <f>"000006"</f>
        <v>000006</v>
      </c>
      <c r="O62" s="10">
        <v>43040</v>
      </c>
      <c r="P62" s="11" t="str">
        <f>"000196"</f>
        <v>000196</v>
      </c>
      <c r="Q62" s="10">
        <v>43041</v>
      </c>
      <c r="R62" s="11">
        <v>17</v>
      </c>
      <c r="S62" s="11" t="str">
        <f>"005077"</f>
        <v>005077</v>
      </c>
      <c r="T62" s="10">
        <v>43322</v>
      </c>
      <c r="U62" s="14">
        <v>10.45748</v>
      </c>
      <c r="V62" s="14">
        <v>1.0569</v>
      </c>
      <c r="W62" s="14">
        <v>9.4005799999999997</v>
      </c>
      <c r="X62" s="11">
        <v>171</v>
      </c>
      <c r="Y62" s="10">
        <v>43326</v>
      </c>
      <c r="Z62" s="11">
        <v>9856232698</v>
      </c>
      <c r="AA62" s="12" t="s">
        <v>56</v>
      </c>
      <c r="AB62" s="11" t="s">
        <v>201</v>
      </c>
      <c r="AC62" s="12" t="s">
        <v>202</v>
      </c>
      <c r="AD62" s="11" t="s">
        <v>44</v>
      </c>
      <c r="AE62" s="12" t="s">
        <v>45</v>
      </c>
      <c r="AF62" s="14">
        <v>0.10457480000000001</v>
      </c>
      <c r="AG62" s="11" t="s">
        <v>46</v>
      </c>
    </row>
    <row r="63" spans="1:33" x14ac:dyDescent="0.2">
      <c r="A63" s="8">
        <v>5012</v>
      </c>
      <c r="B63" s="9" t="s">
        <v>141</v>
      </c>
      <c r="C63" s="10">
        <v>43333</v>
      </c>
      <c r="D63" s="11">
        <v>62</v>
      </c>
      <c r="E63" s="12" t="s">
        <v>34</v>
      </c>
      <c r="F63" s="12" t="s">
        <v>35</v>
      </c>
      <c r="G63" s="12" t="s">
        <v>36</v>
      </c>
      <c r="H63" s="12" t="s">
        <v>37</v>
      </c>
      <c r="I63" s="11" t="s">
        <v>205</v>
      </c>
      <c r="J63" s="12" t="s">
        <v>206</v>
      </c>
      <c r="K63" s="13" t="s">
        <v>55</v>
      </c>
      <c r="L63" s="11" t="str">
        <f>"000162"</f>
        <v>000162</v>
      </c>
      <c r="M63" s="10">
        <v>43048</v>
      </c>
      <c r="N63" s="11" t="str">
        <f>"000015"</f>
        <v>000015</v>
      </c>
      <c r="O63" s="10">
        <v>43050</v>
      </c>
      <c r="P63" s="11" t="str">
        <f>"000204"</f>
        <v>000204</v>
      </c>
      <c r="Q63" s="10">
        <v>43052</v>
      </c>
      <c r="R63" s="11">
        <v>17</v>
      </c>
      <c r="S63" s="11" t="str">
        <f>"005280"</f>
        <v>005280</v>
      </c>
      <c r="T63" s="10">
        <v>43332</v>
      </c>
      <c r="U63" s="14">
        <v>9.6199200000000005</v>
      </c>
      <c r="V63" s="14">
        <v>0.92390000000000005</v>
      </c>
      <c r="W63" s="14">
        <v>8.6960200000000007</v>
      </c>
      <c r="X63" s="11">
        <v>176</v>
      </c>
      <c r="Y63" s="10">
        <v>43333</v>
      </c>
      <c r="Z63" s="11">
        <v>9856232659</v>
      </c>
      <c r="AA63" s="12" t="s">
        <v>207</v>
      </c>
      <c r="AB63" s="11" t="s">
        <v>51</v>
      </c>
      <c r="AC63" s="12" t="s">
        <v>52</v>
      </c>
      <c r="AD63" s="11" t="s">
        <v>44</v>
      </c>
      <c r="AE63" s="12" t="s">
        <v>45</v>
      </c>
      <c r="AF63" s="14">
        <v>9.6199199999999999E-2</v>
      </c>
      <c r="AG63" s="11" t="s">
        <v>46</v>
      </c>
    </row>
    <row r="64" spans="1:33" x14ac:dyDescent="0.2">
      <c r="A64" s="8">
        <v>5013</v>
      </c>
      <c r="B64" s="9" t="s">
        <v>141</v>
      </c>
      <c r="C64" s="10">
        <v>43333</v>
      </c>
      <c r="D64" s="11">
        <v>62</v>
      </c>
      <c r="E64" s="12" t="s">
        <v>34</v>
      </c>
      <c r="F64" s="12" t="s">
        <v>35</v>
      </c>
      <c r="G64" s="12" t="s">
        <v>36</v>
      </c>
      <c r="H64" s="12" t="s">
        <v>37</v>
      </c>
      <c r="I64" s="11" t="s">
        <v>208</v>
      </c>
      <c r="J64" s="12" t="s">
        <v>209</v>
      </c>
      <c r="K64" s="13" t="s">
        <v>77</v>
      </c>
      <c r="L64" s="11" t="str">
        <f>"000163"</f>
        <v>000163</v>
      </c>
      <c r="M64" s="10">
        <v>43048</v>
      </c>
      <c r="N64" s="11" t="str">
        <f>"000014"</f>
        <v>000014</v>
      </c>
      <c r="O64" s="10">
        <v>43050</v>
      </c>
      <c r="P64" s="11" t="str">
        <f>"000205"</f>
        <v>000205</v>
      </c>
      <c r="Q64" s="10">
        <v>43052</v>
      </c>
      <c r="R64" s="11">
        <v>17</v>
      </c>
      <c r="S64" s="11" t="str">
        <f>"005281"</f>
        <v>005281</v>
      </c>
      <c r="T64" s="10">
        <v>43332</v>
      </c>
      <c r="U64" s="14">
        <v>5.22098</v>
      </c>
      <c r="V64" s="14">
        <v>0.52529999999999999</v>
      </c>
      <c r="W64" s="14">
        <v>4.6956800000000003</v>
      </c>
      <c r="X64" s="11">
        <v>176</v>
      </c>
      <c r="Y64" s="10">
        <v>43333</v>
      </c>
      <c r="Z64" s="11">
        <v>9448049099</v>
      </c>
      <c r="AA64" s="12" t="s">
        <v>210</v>
      </c>
      <c r="AB64" s="11" t="s">
        <v>201</v>
      </c>
      <c r="AC64" s="12" t="s">
        <v>202</v>
      </c>
      <c r="AD64" s="11" t="s">
        <v>44</v>
      </c>
      <c r="AE64" s="12" t="s">
        <v>45</v>
      </c>
      <c r="AF64" s="14">
        <v>5.2209800000000001E-2</v>
      </c>
      <c r="AG64" s="11" t="s">
        <v>46</v>
      </c>
    </row>
    <row r="65" spans="1:33" x14ac:dyDescent="0.2">
      <c r="A65" s="8">
        <v>5098</v>
      </c>
      <c r="B65" s="9" t="s">
        <v>141</v>
      </c>
      <c r="C65" s="10">
        <v>43337</v>
      </c>
      <c r="D65" s="11">
        <v>62</v>
      </c>
      <c r="E65" s="12" t="s">
        <v>34</v>
      </c>
      <c r="F65" s="12" t="s">
        <v>35</v>
      </c>
      <c r="G65" s="12" t="s">
        <v>36</v>
      </c>
      <c r="H65" s="12" t="s">
        <v>37</v>
      </c>
      <c r="I65" s="11" t="s">
        <v>211</v>
      </c>
      <c r="J65" s="12" t="s">
        <v>212</v>
      </c>
      <c r="K65" s="13" t="s">
        <v>49</v>
      </c>
      <c r="L65" s="11" t="str">
        <f>"000033"</f>
        <v>000033</v>
      </c>
      <c r="M65" s="10">
        <v>43290</v>
      </c>
      <c r="N65" s="11" t="str">
        <f>"000015"</f>
        <v>000015</v>
      </c>
      <c r="O65" s="10">
        <v>43290</v>
      </c>
      <c r="P65" s="11" t="str">
        <f>"000041"</f>
        <v>000041</v>
      </c>
      <c r="Q65" s="10">
        <v>43291</v>
      </c>
      <c r="R65" s="11">
        <v>18</v>
      </c>
      <c r="S65" s="11" t="str">
        <f>"005229"</f>
        <v>005229</v>
      </c>
      <c r="T65" s="10">
        <v>43326</v>
      </c>
      <c r="U65" s="14">
        <v>39.937080000000002</v>
      </c>
      <c r="V65" s="14">
        <v>4.4367999999999999</v>
      </c>
      <c r="W65" s="14">
        <v>35.500279999999997</v>
      </c>
      <c r="X65" s="11">
        <v>181</v>
      </c>
      <c r="Y65" s="10">
        <v>43337</v>
      </c>
      <c r="Z65" s="11">
        <v>9845612325</v>
      </c>
      <c r="AA65" s="12" t="s">
        <v>41</v>
      </c>
      <c r="AB65" s="11" t="s">
        <v>72</v>
      </c>
      <c r="AC65" s="12" t="s">
        <v>73</v>
      </c>
      <c r="AD65" s="11" t="s">
        <v>44</v>
      </c>
      <c r="AE65" s="12" t="s">
        <v>45</v>
      </c>
      <c r="AF65" s="14">
        <v>0.39937080000000003</v>
      </c>
      <c r="AG65" s="11" t="s">
        <v>118</v>
      </c>
    </row>
    <row r="66" spans="1:33" x14ac:dyDescent="0.2">
      <c r="A66" s="8">
        <v>5099</v>
      </c>
      <c r="B66" s="9" t="s">
        <v>141</v>
      </c>
      <c r="C66" s="10">
        <v>43337</v>
      </c>
      <c r="D66" s="11">
        <v>62</v>
      </c>
      <c r="E66" s="12" t="s">
        <v>34</v>
      </c>
      <c r="F66" s="12" t="s">
        <v>35</v>
      </c>
      <c r="G66" s="12" t="s">
        <v>36</v>
      </c>
      <c r="H66" s="12" t="s">
        <v>37</v>
      </c>
      <c r="I66" s="11" t="s">
        <v>213</v>
      </c>
      <c r="J66" s="12" t="s">
        <v>214</v>
      </c>
      <c r="K66" s="13" t="s">
        <v>49</v>
      </c>
      <c r="L66" s="11" t="str">
        <f>"000068"</f>
        <v>000068</v>
      </c>
      <c r="M66" s="10">
        <v>43300</v>
      </c>
      <c r="N66" s="11" t="str">
        <f>"000021"</f>
        <v>000021</v>
      </c>
      <c r="O66" s="10">
        <v>43300</v>
      </c>
      <c r="P66" s="11" t="str">
        <f>"000048"</f>
        <v>000048</v>
      </c>
      <c r="Q66" s="10">
        <v>43304</v>
      </c>
      <c r="R66" s="11">
        <v>18</v>
      </c>
      <c r="S66" s="11" t="str">
        <f>"005257"</f>
        <v>005257</v>
      </c>
      <c r="T66" s="10">
        <v>43326</v>
      </c>
      <c r="U66" s="14">
        <v>19.986039999999999</v>
      </c>
      <c r="V66" s="14">
        <v>2.0011999999999999</v>
      </c>
      <c r="W66" s="14">
        <v>17.984839999999998</v>
      </c>
      <c r="X66" s="11">
        <v>181</v>
      </c>
      <c r="Y66" s="10">
        <v>43337</v>
      </c>
      <c r="Z66" s="11">
        <v>9856235698</v>
      </c>
      <c r="AA66" s="12" t="s">
        <v>41</v>
      </c>
      <c r="AB66" s="11" t="s">
        <v>72</v>
      </c>
      <c r="AC66" s="12" t="s">
        <v>73</v>
      </c>
      <c r="AD66" s="11" t="s">
        <v>44</v>
      </c>
      <c r="AE66" s="12" t="s">
        <v>45</v>
      </c>
      <c r="AF66" s="14">
        <v>0.19986039999999999</v>
      </c>
      <c r="AG66" s="11" t="s">
        <v>118</v>
      </c>
    </row>
    <row r="67" spans="1:33" x14ac:dyDescent="0.2">
      <c r="A67" s="8">
        <v>5129</v>
      </c>
      <c r="B67" s="9" t="s">
        <v>141</v>
      </c>
      <c r="C67" s="10">
        <v>43339</v>
      </c>
      <c r="D67" s="11">
        <v>62</v>
      </c>
      <c r="E67" s="12" t="s">
        <v>34</v>
      </c>
      <c r="F67" s="12" t="s">
        <v>35</v>
      </c>
      <c r="G67" s="12" t="s">
        <v>36</v>
      </c>
      <c r="H67" s="12" t="s">
        <v>37</v>
      </c>
      <c r="I67" s="11" t="s">
        <v>215</v>
      </c>
      <c r="J67" s="12" t="s">
        <v>216</v>
      </c>
      <c r="K67" s="13" t="s">
        <v>217</v>
      </c>
      <c r="L67" s="11" t="str">
        <f>"000022"</f>
        <v>000022</v>
      </c>
      <c r="M67" s="10">
        <v>43270</v>
      </c>
      <c r="N67" s="11" t="str">
        <f>"000047"</f>
        <v>000047</v>
      </c>
      <c r="O67" s="10">
        <v>43319</v>
      </c>
      <c r="P67" s="11" t="str">
        <f>"000074"</f>
        <v>000074</v>
      </c>
      <c r="Q67" s="10">
        <v>43319</v>
      </c>
      <c r="R67" s="11">
        <v>18</v>
      </c>
      <c r="S67" s="11" t="str">
        <f>"005403"</f>
        <v>005403</v>
      </c>
      <c r="T67" s="10">
        <v>43339</v>
      </c>
      <c r="U67" s="14">
        <v>49.913780000000003</v>
      </c>
      <c r="V67" s="14">
        <v>4.9485999999999999</v>
      </c>
      <c r="W67" s="14">
        <v>44.965179999999997</v>
      </c>
      <c r="X67" s="11">
        <v>184</v>
      </c>
      <c r="Y67" s="10">
        <v>43339</v>
      </c>
      <c r="Z67" s="11">
        <v>9856231456</v>
      </c>
      <c r="AA67" s="12" t="s">
        <v>41</v>
      </c>
      <c r="AB67" s="11" t="s">
        <v>218</v>
      </c>
      <c r="AC67" s="12" t="s">
        <v>219</v>
      </c>
      <c r="AD67" s="11" t="s">
        <v>44</v>
      </c>
      <c r="AE67" s="12" t="s">
        <v>45</v>
      </c>
      <c r="AF67" s="14">
        <v>0.49913780000000002</v>
      </c>
      <c r="AG67" s="11" t="s">
        <v>118</v>
      </c>
    </row>
    <row r="68" spans="1:33" x14ac:dyDescent="0.2">
      <c r="A68" s="8">
        <v>5130</v>
      </c>
      <c r="B68" s="9" t="s">
        <v>141</v>
      </c>
      <c r="C68" s="10">
        <v>43339</v>
      </c>
      <c r="D68" s="11">
        <v>62</v>
      </c>
      <c r="E68" s="12" t="s">
        <v>34</v>
      </c>
      <c r="F68" s="12" t="s">
        <v>35</v>
      </c>
      <c r="G68" s="12" t="s">
        <v>36</v>
      </c>
      <c r="H68" s="12" t="s">
        <v>37</v>
      </c>
      <c r="I68" s="11" t="s">
        <v>220</v>
      </c>
      <c r="J68" s="12" t="s">
        <v>221</v>
      </c>
      <c r="K68" s="13" t="s">
        <v>217</v>
      </c>
      <c r="L68" s="11" t="str">
        <f>"000023"</f>
        <v>000023</v>
      </c>
      <c r="M68" s="10">
        <v>43270</v>
      </c>
      <c r="N68" s="11" t="str">
        <f>"000048"</f>
        <v>000048</v>
      </c>
      <c r="O68" s="10">
        <v>43319</v>
      </c>
      <c r="P68" s="11" t="str">
        <f>"000075"</f>
        <v>000075</v>
      </c>
      <c r="Q68" s="10">
        <v>43319</v>
      </c>
      <c r="R68" s="11">
        <v>18</v>
      </c>
      <c r="S68" s="11" t="str">
        <f>"005405"</f>
        <v>005405</v>
      </c>
      <c r="T68" s="10">
        <v>43339</v>
      </c>
      <c r="U68" s="14">
        <v>49.911670000000001</v>
      </c>
      <c r="V68" s="14">
        <v>4.9485999999999999</v>
      </c>
      <c r="W68" s="14">
        <v>44.963070000000002</v>
      </c>
      <c r="X68" s="11">
        <v>184</v>
      </c>
      <c r="Y68" s="10">
        <v>43339</v>
      </c>
      <c r="Z68" s="11">
        <v>9856236598</v>
      </c>
      <c r="AA68" s="12" t="s">
        <v>41</v>
      </c>
      <c r="AB68" s="11" t="s">
        <v>218</v>
      </c>
      <c r="AC68" s="12" t="s">
        <v>219</v>
      </c>
      <c r="AD68" s="11" t="s">
        <v>44</v>
      </c>
      <c r="AE68" s="12" t="s">
        <v>45</v>
      </c>
      <c r="AF68" s="14">
        <v>0.49911670000000002</v>
      </c>
      <c r="AG68" s="11" t="s">
        <v>118</v>
      </c>
    </row>
    <row r="69" spans="1:33" x14ac:dyDescent="0.2">
      <c r="A69" s="8">
        <v>5148</v>
      </c>
      <c r="B69" s="9" t="s">
        <v>222</v>
      </c>
      <c r="C69" s="10">
        <v>43344</v>
      </c>
      <c r="D69" s="11">
        <v>62</v>
      </c>
      <c r="E69" s="12" t="s">
        <v>34</v>
      </c>
      <c r="F69" s="12" t="s">
        <v>35</v>
      </c>
      <c r="G69" s="12" t="s">
        <v>36</v>
      </c>
      <c r="H69" s="12" t="s">
        <v>37</v>
      </c>
      <c r="I69" s="11" t="s">
        <v>223</v>
      </c>
      <c r="J69" s="12" t="s">
        <v>224</v>
      </c>
      <c r="K69" s="13" t="s">
        <v>49</v>
      </c>
      <c r="L69" s="11" t="str">
        <f>"000048"</f>
        <v>000048</v>
      </c>
      <c r="M69" s="10">
        <v>42611</v>
      </c>
      <c r="N69" s="11" t="str">
        <f>"000100"</f>
        <v>000100</v>
      </c>
      <c r="O69" s="10">
        <v>42853</v>
      </c>
      <c r="P69" s="11" t="str">
        <f>"000006"</f>
        <v>000006</v>
      </c>
      <c r="Q69" s="10">
        <v>42853</v>
      </c>
      <c r="R69" s="11">
        <v>16</v>
      </c>
      <c r="S69" s="11" t="str">
        <f>"005483"</f>
        <v>005483</v>
      </c>
      <c r="T69" s="10">
        <v>43340</v>
      </c>
      <c r="U69" s="14">
        <v>9.9039000000000001</v>
      </c>
      <c r="V69" s="14">
        <v>0.73155000000000003</v>
      </c>
      <c r="W69" s="14">
        <v>9.1723499999999998</v>
      </c>
      <c r="X69" s="11">
        <v>185</v>
      </c>
      <c r="Y69" s="10">
        <v>43344</v>
      </c>
      <c r="Z69" s="11">
        <v>9856598569</v>
      </c>
      <c r="AA69" s="12" t="s">
        <v>225</v>
      </c>
      <c r="AB69" s="11" t="s">
        <v>51</v>
      </c>
      <c r="AC69" s="12" t="s">
        <v>52</v>
      </c>
      <c r="AD69" s="11" t="s">
        <v>44</v>
      </c>
      <c r="AE69" s="12" t="s">
        <v>45</v>
      </c>
      <c r="AF69" s="14">
        <f t="shared" ref="AF69:AF122" si="0">U69/100</f>
        <v>9.9039000000000002E-2</v>
      </c>
      <c r="AG69" s="11" t="s">
        <v>46</v>
      </c>
    </row>
    <row r="70" spans="1:33" x14ac:dyDescent="0.2">
      <c r="A70" s="8">
        <v>5386</v>
      </c>
      <c r="B70" s="9" t="s">
        <v>222</v>
      </c>
      <c r="C70" s="10">
        <v>43349</v>
      </c>
      <c r="D70" s="11">
        <v>62</v>
      </c>
      <c r="E70" s="12" t="s">
        <v>34</v>
      </c>
      <c r="F70" s="12" t="s">
        <v>35</v>
      </c>
      <c r="G70" s="12" t="s">
        <v>36</v>
      </c>
      <c r="H70" s="12" t="s">
        <v>37</v>
      </c>
      <c r="I70" s="11" t="s">
        <v>53</v>
      </c>
      <c r="J70" s="12" t="s">
        <v>54</v>
      </c>
      <c r="K70" s="13" t="s">
        <v>49</v>
      </c>
      <c r="L70" s="11" t="str">
        <f>"000151"</f>
        <v>000151</v>
      </c>
      <c r="M70" s="10">
        <v>43038</v>
      </c>
      <c r="N70" s="11" t="str">
        <f>"000056"</f>
        <v>000056</v>
      </c>
      <c r="O70" s="10">
        <v>43339</v>
      </c>
      <c r="P70" s="11" t="str">
        <f>"000087"</f>
        <v>000087</v>
      </c>
      <c r="Q70" s="10">
        <v>43340</v>
      </c>
      <c r="R70" s="11">
        <v>17</v>
      </c>
      <c r="S70" s="11" t="str">
        <f>"005624"</f>
        <v>005624</v>
      </c>
      <c r="T70" s="10">
        <v>43348</v>
      </c>
      <c r="U70" s="14">
        <v>1.96662</v>
      </c>
      <c r="V70" s="14">
        <v>4.1399999999999999E-2</v>
      </c>
      <c r="W70" s="14">
        <v>1.9252199999999999</v>
      </c>
      <c r="X70" s="11">
        <v>194</v>
      </c>
      <c r="Y70" s="10">
        <v>43349</v>
      </c>
      <c r="Z70" s="11">
        <v>9448049099</v>
      </c>
      <c r="AA70" s="12" t="s">
        <v>56</v>
      </c>
      <c r="AB70" s="11" t="s">
        <v>57</v>
      </c>
      <c r="AC70" s="12" t="s">
        <v>58</v>
      </c>
      <c r="AD70" s="11" t="s">
        <v>44</v>
      </c>
      <c r="AE70" s="12" t="s">
        <v>45</v>
      </c>
      <c r="AF70" s="14">
        <f t="shared" si="0"/>
        <v>1.9666200000000002E-2</v>
      </c>
      <c r="AG70" s="11" t="s">
        <v>59</v>
      </c>
    </row>
    <row r="71" spans="1:33" x14ac:dyDescent="0.2">
      <c r="A71" s="8">
        <v>5414</v>
      </c>
      <c r="B71" s="9" t="s">
        <v>222</v>
      </c>
      <c r="C71" s="10">
        <v>43354</v>
      </c>
      <c r="D71" s="11">
        <v>62</v>
      </c>
      <c r="E71" s="12" t="s">
        <v>34</v>
      </c>
      <c r="F71" s="12" t="s">
        <v>35</v>
      </c>
      <c r="G71" s="12" t="s">
        <v>36</v>
      </c>
      <c r="H71" s="12" t="s">
        <v>37</v>
      </c>
      <c r="I71" s="11" t="s">
        <v>226</v>
      </c>
      <c r="J71" s="12" t="s">
        <v>227</v>
      </c>
      <c r="K71" s="13" t="s">
        <v>125</v>
      </c>
      <c r="L71" s="11" t="str">
        <f>"000187"</f>
        <v>000187</v>
      </c>
      <c r="M71" s="10">
        <v>43133</v>
      </c>
      <c r="N71" s="11" t="str">
        <f>"000092"</f>
        <v>000092</v>
      </c>
      <c r="O71" s="10">
        <v>43190</v>
      </c>
      <c r="P71" s="11" t="str">
        <f>"000079"</f>
        <v>000079</v>
      </c>
      <c r="Q71" s="10">
        <v>43333</v>
      </c>
      <c r="R71" s="11">
        <v>18</v>
      </c>
      <c r="S71" s="11" t="str">
        <f>"005726"</f>
        <v>005726</v>
      </c>
      <c r="T71" s="10">
        <v>43353</v>
      </c>
      <c r="U71" s="14">
        <v>19.93214</v>
      </c>
      <c r="V71" s="14">
        <v>1.8546</v>
      </c>
      <c r="W71" s="14">
        <v>18.077539999999999</v>
      </c>
      <c r="X71" s="11">
        <v>199</v>
      </c>
      <c r="Y71" s="10">
        <v>43354</v>
      </c>
      <c r="Z71" s="11">
        <v>9886010878</v>
      </c>
      <c r="AA71" s="12" t="s">
        <v>41</v>
      </c>
      <c r="AB71" s="11" t="s">
        <v>126</v>
      </c>
      <c r="AC71" s="12" t="s">
        <v>127</v>
      </c>
      <c r="AD71" s="11" t="s">
        <v>44</v>
      </c>
      <c r="AE71" s="12" t="s">
        <v>45</v>
      </c>
      <c r="AF71" s="14">
        <f t="shared" si="0"/>
        <v>0.19932140000000001</v>
      </c>
      <c r="AG71" s="11" t="s">
        <v>59</v>
      </c>
    </row>
    <row r="72" spans="1:33" x14ac:dyDescent="0.2">
      <c r="A72" s="8">
        <v>5415</v>
      </c>
      <c r="B72" s="9" t="s">
        <v>222</v>
      </c>
      <c r="C72" s="10">
        <v>43354</v>
      </c>
      <c r="D72" s="11">
        <v>62</v>
      </c>
      <c r="E72" s="12" t="s">
        <v>34</v>
      </c>
      <c r="F72" s="12" t="s">
        <v>35</v>
      </c>
      <c r="G72" s="12" t="s">
        <v>36</v>
      </c>
      <c r="H72" s="12" t="s">
        <v>37</v>
      </c>
      <c r="I72" s="11" t="s">
        <v>228</v>
      </c>
      <c r="J72" s="12" t="s">
        <v>229</v>
      </c>
      <c r="K72" s="13" t="s">
        <v>125</v>
      </c>
      <c r="L72" s="11" t="str">
        <f>"000188"</f>
        <v>000188</v>
      </c>
      <c r="M72" s="10">
        <v>43133</v>
      </c>
      <c r="N72" s="11" t="str">
        <f>"000052"</f>
        <v>000052</v>
      </c>
      <c r="O72" s="10">
        <v>43332</v>
      </c>
      <c r="P72" s="11" t="str">
        <f>"000078"</f>
        <v>000078</v>
      </c>
      <c r="Q72" s="10">
        <v>43333</v>
      </c>
      <c r="R72" s="11">
        <v>18</v>
      </c>
      <c r="S72" s="11" t="str">
        <f>"005727"</f>
        <v>005727</v>
      </c>
      <c r="T72" s="10">
        <v>43353</v>
      </c>
      <c r="U72" s="14">
        <v>4.9666300000000003</v>
      </c>
      <c r="V72" s="14">
        <v>0.41439999999999999</v>
      </c>
      <c r="W72" s="14">
        <v>4.5522299999999998</v>
      </c>
      <c r="X72" s="11">
        <v>199</v>
      </c>
      <c r="Y72" s="10">
        <v>43354</v>
      </c>
      <c r="Z72" s="11">
        <v>9886010878</v>
      </c>
      <c r="AA72" s="12" t="s">
        <v>41</v>
      </c>
      <c r="AB72" s="11" t="s">
        <v>126</v>
      </c>
      <c r="AC72" s="12" t="s">
        <v>127</v>
      </c>
      <c r="AD72" s="11" t="s">
        <v>44</v>
      </c>
      <c r="AE72" s="12" t="s">
        <v>45</v>
      </c>
      <c r="AF72" s="14">
        <f t="shared" si="0"/>
        <v>4.9666300000000004E-2</v>
      </c>
      <c r="AG72" s="11" t="s">
        <v>59</v>
      </c>
    </row>
    <row r="73" spans="1:33" x14ac:dyDescent="0.2">
      <c r="A73" s="8">
        <v>5646</v>
      </c>
      <c r="B73" s="9" t="s">
        <v>222</v>
      </c>
      <c r="C73" s="10">
        <v>43370</v>
      </c>
      <c r="D73" s="11">
        <v>62</v>
      </c>
      <c r="E73" s="12" t="s">
        <v>34</v>
      </c>
      <c r="F73" s="12" t="s">
        <v>35</v>
      </c>
      <c r="G73" s="12" t="s">
        <v>36</v>
      </c>
      <c r="H73" s="12" t="s">
        <v>37</v>
      </c>
      <c r="I73" s="11" t="s">
        <v>230</v>
      </c>
      <c r="J73" s="12" t="s">
        <v>231</v>
      </c>
      <c r="K73" s="13" t="s">
        <v>40</v>
      </c>
      <c r="L73" s="11" t="str">
        <f>"000077"</f>
        <v>000077</v>
      </c>
      <c r="M73" s="10">
        <v>43312</v>
      </c>
      <c r="N73" s="11" t="str">
        <f>"000045"</f>
        <v>000045</v>
      </c>
      <c r="O73" s="10">
        <v>43312</v>
      </c>
      <c r="P73" s="11" t="str">
        <f>"000071"</f>
        <v>000071</v>
      </c>
      <c r="Q73" s="10">
        <v>43312</v>
      </c>
      <c r="R73" s="11">
        <v>18</v>
      </c>
      <c r="S73" s="11" t="str">
        <f>"005915"</f>
        <v>005915</v>
      </c>
      <c r="T73" s="10">
        <v>43368</v>
      </c>
      <c r="U73" s="14">
        <v>19.86129</v>
      </c>
      <c r="V73" s="14">
        <v>2.04765</v>
      </c>
      <c r="W73" s="14">
        <v>17.813639999999999</v>
      </c>
      <c r="X73" s="11">
        <v>213</v>
      </c>
      <c r="Y73" s="10">
        <v>43370</v>
      </c>
      <c r="Z73" s="11">
        <v>9856565989</v>
      </c>
      <c r="AA73" s="12" t="s">
        <v>41</v>
      </c>
      <c r="AB73" s="11" t="s">
        <v>72</v>
      </c>
      <c r="AC73" s="12" t="s">
        <v>73</v>
      </c>
      <c r="AD73" s="11" t="s">
        <v>44</v>
      </c>
      <c r="AE73" s="12" t="s">
        <v>45</v>
      </c>
      <c r="AF73" s="14">
        <f t="shared" si="0"/>
        <v>0.19861290000000001</v>
      </c>
      <c r="AG73" s="11" t="s">
        <v>118</v>
      </c>
    </row>
    <row r="74" spans="1:33" x14ac:dyDescent="0.2">
      <c r="A74" s="8">
        <v>5647</v>
      </c>
      <c r="B74" s="9" t="s">
        <v>222</v>
      </c>
      <c r="C74" s="10">
        <v>43370</v>
      </c>
      <c r="D74" s="11">
        <v>62</v>
      </c>
      <c r="E74" s="12" t="s">
        <v>34</v>
      </c>
      <c r="F74" s="12" t="s">
        <v>35</v>
      </c>
      <c r="G74" s="12" t="s">
        <v>36</v>
      </c>
      <c r="H74" s="12" t="s">
        <v>37</v>
      </c>
      <c r="I74" s="11" t="s">
        <v>232</v>
      </c>
      <c r="J74" s="12" t="s">
        <v>233</v>
      </c>
      <c r="K74" s="13" t="s">
        <v>40</v>
      </c>
      <c r="L74" s="11" t="str">
        <f>"000076"</f>
        <v>000076</v>
      </c>
      <c r="M74" s="10">
        <v>43312</v>
      </c>
      <c r="N74" s="11" t="str">
        <f>"000046"</f>
        <v>000046</v>
      </c>
      <c r="O74" s="10">
        <v>43312</v>
      </c>
      <c r="P74" s="11" t="str">
        <f>"000072"</f>
        <v>000072</v>
      </c>
      <c r="Q74" s="10">
        <v>43312</v>
      </c>
      <c r="R74" s="11">
        <v>18</v>
      </c>
      <c r="S74" s="11" t="str">
        <f>"005916"</f>
        <v>005916</v>
      </c>
      <c r="T74" s="10">
        <v>43368</v>
      </c>
      <c r="U74" s="14">
        <v>19.697929999999999</v>
      </c>
      <c r="V74" s="14">
        <v>2.04305</v>
      </c>
      <c r="W74" s="14">
        <v>17.654879999999999</v>
      </c>
      <c r="X74" s="11">
        <v>213</v>
      </c>
      <c r="Y74" s="10">
        <v>43370</v>
      </c>
      <c r="Z74" s="11">
        <v>9565898956</v>
      </c>
      <c r="AA74" s="12" t="s">
        <v>41</v>
      </c>
      <c r="AB74" s="11" t="s">
        <v>72</v>
      </c>
      <c r="AC74" s="12" t="s">
        <v>73</v>
      </c>
      <c r="AD74" s="11" t="s">
        <v>44</v>
      </c>
      <c r="AE74" s="12" t="s">
        <v>45</v>
      </c>
      <c r="AF74" s="14">
        <f t="shared" si="0"/>
        <v>0.1969793</v>
      </c>
      <c r="AG74" s="11" t="s">
        <v>118</v>
      </c>
    </row>
    <row r="75" spans="1:33" x14ac:dyDescent="0.2">
      <c r="A75" s="8">
        <v>5648</v>
      </c>
      <c r="B75" s="9" t="s">
        <v>222</v>
      </c>
      <c r="C75" s="10">
        <v>43370</v>
      </c>
      <c r="D75" s="11">
        <v>62</v>
      </c>
      <c r="E75" s="12" t="s">
        <v>34</v>
      </c>
      <c r="F75" s="12" t="s">
        <v>35</v>
      </c>
      <c r="G75" s="12" t="s">
        <v>36</v>
      </c>
      <c r="H75" s="12" t="s">
        <v>37</v>
      </c>
      <c r="I75" s="11" t="s">
        <v>234</v>
      </c>
      <c r="J75" s="12" t="s">
        <v>235</v>
      </c>
      <c r="K75" s="13" t="s">
        <v>49</v>
      </c>
      <c r="L75" s="11" t="str">
        <f>"000084"</f>
        <v>000084</v>
      </c>
      <c r="M75" s="10">
        <v>42803</v>
      </c>
      <c r="N75" s="11" t="str">
        <f>"000112"</f>
        <v>000112</v>
      </c>
      <c r="O75" s="10">
        <v>42853</v>
      </c>
      <c r="P75" s="11" t="str">
        <f>"000004"</f>
        <v>000004</v>
      </c>
      <c r="Q75" s="10">
        <v>42853</v>
      </c>
      <c r="R75" s="11">
        <v>17</v>
      </c>
      <c r="S75" s="11" t="str">
        <f>"005857"</f>
        <v>005857</v>
      </c>
      <c r="T75" s="10">
        <v>43363</v>
      </c>
      <c r="U75" s="14">
        <v>4.8916199999999996</v>
      </c>
      <c r="V75" s="14">
        <v>0.59740000000000004</v>
      </c>
      <c r="W75" s="14">
        <v>4.2942200000000001</v>
      </c>
      <c r="X75" s="11">
        <v>217</v>
      </c>
      <c r="Y75" s="10">
        <v>43370</v>
      </c>
      <c r="Z75" s="11">
        <v>9856598569</v>
      </c>
      <c r="AA75" s="12" t="s">
        <v>183</v>
      </c>
      <c r="AB75" s="11" t="s">
        <v>51</v>
      </c>
      <c r="AC75" s="12" t="s">
        <v>52</v>
      </c>
      <c r="AD75" s="11" t="s">
        <v>44</v>
      </c>
      <c r="AE75" s="12" t="s">
        <v>45</v>
      </c>
      <c r="AF75" s="14">
        <f t="shared" si="0"/>
        <v>4.8916199999999993E-2</v>
      </c>
      <c r="AG75" s="11" t="s">
        <v>46</v>
      </c>
    </row>
    <row r="76" spans="1:33" x14ac:dyDescent="0.2">
      <c r="A76" s="8">
        <v>5649</v>
      </c>
      <c r="B76" s="9" t="s">
        <v>222</v>
      </c>
      <c r="C76" s="10">
        <v>43370</v>
      </c>
      <c r="D76" s="11">
        <v>62</v>
      </c>
      <c r="E76" s="12" t="s">
        <v>34</v>
      </c>
      <c r="F76" s="12" t="s">
        <v>35</v>
      </c>
      <c r="G76" s="12" t="s">
        <v>36</v>
      </c>
      <c r="H76" s="12" t="s">
        <v>37</v>
      </c>
      <c r="I76" s="11" t="s">
        <v>236</v>
      </c>
      <c r="J76" s="12" t="s">
        <v>237</v>
      </c>
      <c r="K76" s="13" t="s">
        <v>49</v>
      </c>
      <c r="L76" s="11" t="str">
        <f>"000083"</f>
        <v>000083</v>
      </c>
      <c r="M76" s="10">
        <v>42803</v>
      </c>
      <c r="N76" s="11" t="str">
        <f>"000013"</f>
        <v>000013</v>
      </c>
      <c r="O76" s="10">
        <v>42853</v>
      </c>
      <c r="P76" s="11" t="str">
        <f>"000005"</f>
        <v>000005</v>
      </c>
      <c r="Q76" s="10">
        <v>42853</v>
      </c>
      <c r="R76" s="11">
        <v>17</v>
      </c>
      <c r="S76" s="11" t="str">
        <f>"005859"</f>
        <v>005859</v>
      </c>
      <c r="T76" s="10">
        <v>43363</v>
      </c>
      <c r="U76" s="14">
        <v>4.9387800000000004</v>
      </c>
      <c r="V76" s="14">
        <v>0.60299999999999998</v>
      </c>
      <c r="W76" s="14">
        <v>4.3357799999999997</v>
      </c>
      <c r="X76" s="11">
        <v>217</v>
      </c>
      <c r="Y76" s="10">
        <v>43370</v>
      </c>
      <c r="Z76" s="11">
        <v>9865989856</v>
      </c>
      <c r="AA76" s="12" t="s">
        <v>183</v>
      </c>
      <c r="AB76" s="11" t="s">
        <v>51</v>
      </c>
      <c r="AC76" s="12" t="s">
        <v>52</v>
      </c>
      <c r="AD76" s="11" t="s">
        <v>44</v>
      </c>
      <c r="AE76" s="12" t="s">
        <v>45</v>
      </c>
      <c r="AF76" s="14">
        <f t="shared" si="0"/>
        <v>4.9387800000000003E-2</v>
      </c>
      <c r="AG76" s="11" t="s">
        <v>46</v>
      </c>
    </row>
    <row r="77" spans="1:33" x14ac:dyDescent="0.2">
      <c r="A77" s="8">
        <v>5650</v>
      </c>
      <c r="B77" s="9" t="s">
        <v>222</v>
      </c>
      <c r="C77" s="10">
        <v>43370</v>
      </c>
      <c r="D77" s="11">
        <v>62</v>
      </c>
      <c r="E77" s="12" t="s">
        <v>34</v>
      </c>
      <c r="F77" s="12" t="s">
        <v>35</v>
      </c>
      <c r="G77" s="12" t="s">
        <v>36</v>
      </c>
      <c r="H77" s="12" t="s">
        <v>37</v>
      </c>
      <c r="I77" s="11" t="s">
        <v>238</v>
      </c>
      <c r="J77" s="12" t="s">
        <v>239</v>
      </c>
      <c r="K77" s="13" t="s">
        <v>77</v>
      </c>
      <c r="L77" s="11" t="str">
        <f>"000053"</f>
        <v>000053</v>
      </c>
      <c r="M77" s="10">
        <v>42986</v>
      </c>
      <c r="N77" s="11" t="str">
        <f>"000166"</f>
        <v>000166</v>
      </c>
      <c r="O77" s="10">
        <v>42901</v>
      </c>
      <c r="P77" s="11" t="str">
        <f>"000038"</f>
        <v>000038</v>
      </c>
      <c r="Q77" s="10">
        <v>42991</v>
      </c>
      <c r="R77" s="11">
        <v>17</v>
      </c>
      <c r="S77" s="11" t="str">
        <f>"005812"</f>
        <v>005812</v>
      </c>
      <c r="T77" s="10">
        <v>43362</v>
      </c>
      <c r="U77" s="14">
        <v>18.977740000000001</v>
      </c>
      <c r="V77" s="14">
        <v>2.5135999999999998</v>
      </c>
      <c r="W77" s="14">
        <v>16.46414</v>
      </c>
      <c r="X77" s="11">
        <v>219</v>
      </c>
      <c r="Y77" s="10">
        <v>43370</v>
      </c>
      <c r="Z77" s="11">
        <v>9448049099</v>
      </c>
      <c r="AA77" s="12" t="s">
        <v>115</v>
      </c>
      <c r="AB77" s="11" t="s">
        <v>51</v>
      </c>
      <c r="AC77" s="12" t="s">
        <v>52</v>
      </c>
      <c r="AD77" s="11" t="s">
        <v>44</v>
      </c>
      <c r="AE77" s="12" t="s">
        <v>45</v>
      </c>
      <c r="AF77" s="14">
        <f t="shared" si="0"/>
        <v>0.18977740000000001</v>
      </c>
      <c r="AG77" s="11" t="s">
        <v>46</v>
      </c>
    </row>
    <row r="78" spans="1:33" x14ac:dyDescent="0.2">
      <c r="A78" s="8">
        <v>5651</v>
      </c>
      <c r="B78" s="9" t="s">
        <v>222</v>
      </c>
      <c r="C78" s="10">
        <v>43370</v>
      </c>
      <c r="D78" s="11">
        <v>62</v>
      </c>
      <c r="E78" s="12" t="s">
        <v>34</v>
      </c>
      <c r="F78" s="12" t="s">
        <v>35</v>
      </c>
      <c r="G78" s="12" t="s">
        <v>36</v>
      </c>
      <c r="H78" s="12" t="s">
        <v>37</v>
      </c>
      <c r="I78" s="11" t="s">
        <v>240</v>
      </c>
      <c r="J78" s="12" t="s">
        <v>241</v>
      </c>
      <c r="K78" s="13" t="s">
        <v>77</v>
      </c>
      <c r="L78" s="11" t="str">
        <f>"000054"</f>
        <v>000054</v>
      </c>
      <c r="M78" s="10">
        <v>42986</v>
      </c>
      <c r="N78" s="11" t="str">
        <f>"000164"</f>
        <v>000164</v>
      </c>
      <c r="O78" s="10">
        <v>42901</v>
      </c>
      <c r="P78" s="11" t="str">
        <f>"000039"</f>
        <v>000039</v>
      </c>
      <c r="Q78" s="10">
        <v>42991</v>
      </c>
      <c r="R78" s="11">
        <v>17</v>
      </c>
      <c r="S78" s="11" t="str">
        <f>"005813"</f>
        <v>005813</v>
      </c>
      <c r="T78" s="10">
        <v>43362</v>
      </c>
      <c r="U78" s="14">
        <v>19.56485</v>
      </c>
      <c r="V78" s="14">
        <v>2.5868500000000001</v>
      </c>
      <c r="W78" s="14">
        <v>16.978000000000002</v>
      </c>
      <c r="X78" s="11">
        <v>219</v>
      </c>
      <c r="Y78" s="10">
        <v>43370</v>
      </c>
      <c r="Z78" s="11">
        <v>9448049099</v>
      </c>
      <c r="AA78" s="12" t="s">
        <v>115</v>
      </c>
      <c r="AB78" s="11" t="s">
        <v>51</v>
      </c>
      <c r="AC78" s="12" t="s">
        <v>52</v>
      </c>
      <c r="AD78" s="11" t="s">
        <v>44</v>
      </c>
      <c r="AE78" s="12" t="s">
        <v>45</v>
      </c>
      <c r="AF78" s="14">
        <f t="shared" si="0"/>
        <v>0.1956485</v>
      </c>
      <c r="AG78" s="11" t="s">
        <v>46</v>
      </c>
    </row>
    <row r="79" spans="1:33" x14ac:dyDescent="0.2">
      <c r="A79" s="8">
        <v>5798</v>
      </c>
      <c r="B79" s="9" t="s">
        <v>242</v>
      </c>
      <c r="C79" s="10">
        <v>43377</v>
      </c>
      <c r="D79" s="11">
        <v>62</v>
      </c>
      <c r="E79" s="12" t="s">
        <v>34</v>
      </c>
      <c r="F79" s="12" t="s">
        <v>35</v>
      </c>
      <c r="G79" s="12" t="s">
        <v>36</v>
      </c>
      <c r="H79" s="12" t="s">
        <v>37</v>
      </c>
      <c r="I79" s="11" t="s">
        <v>243</v>
      </c>
      <c r="J79" s="12" t="s">
        <v>244</v>
      </c>
      <c r="K79" s="13" t="s">
        <v>77</v>
      </c>
      <c r="L79" s="11" t="str">
        <f>"000092"</f>
        <v>000092</v>
      </c>
      <c r="M79" s="10">
        <v>43354</v>
      </c>
      <c r="N79" s="11" t="str">
        <f>"000063"</f>
        <v>000063</v>
      </c>
      <c r="O79" s="10">
        <v>43354</v>
      </c>
      <c r="P79" s="11" t="str">
        <f>"000099"</f>
        <v>000099</v>
      </c>
      <c r="Q79" s="10">
        <v>43354</v>
      </c>
      <c r="R79" s="11">
        <v>18</v>
      </c>
      <c r="S79" s="11" t="str">
        <f>"006106"</f>
        <v>006106</v>
      </c>
      <c r="T79" s="10">
        <v>43376</v>
      </c>
      <c r="U79" s="14">
        <v>19.997019999999999</v>
      </c>
      <c r="V79" s="14">
        <v>1.8654999999999999</v>
      </c>
      <c r="W79" s="14">
        <v>18.131519999999998</v>
      </c>
      <c r="X79" s="11">
        <v>220</v>
      </c>
      <c r="Y79" s="10">
        <v>43377</v>
      </c>
      <c r="Z79" s="11">
        <v>9536235689</v>
      </c>
      <c r="AA79" s="12" t="s">
        <v>41</v>
      </c>
      <c r="AB79" s="11" t="s">
        <v>218</v>
      </c>
      <c r="AC79" s="12" t="s">
        <v>219</v>
      </c>
      <c r="AD79" s="11" t="s">
        <v>44</v>
      </c>
      <c r="AE79" s="12" t="s">
        <v>45</v>
      </c>
      <c r="AF79" s="14">
        <f t="shared" si="0"/>
        <v>0.19997019999999999</v>
      </c>
      <c r="AG79" s="11" t="s">
        <v>118</v>
      </c>
    </row>
    <row r="80" spans="1:33" x14ac:dyDescent="0.2">
      <c r="A80" s="8">
        <v>5799</v>
      </c>
      <c r="B80" s="9" t="s">
        <v>242</v>
      </c>
      <c r="C80" s="10">
        <v>43377</v>
      </c>
      <c r="D80" s="11">
        <v>62</v>
      </c>
      <c r="E80" s="12" t="s">
        <v>34</v>
      </c>
      <c r="F80" s="12" t="s">
        <v>35</v>
      </c>
      <c r="G80" s="12" t="s">
        <v>36</v>
      </c>
      <c r="H80" s="12" t="s">
        <v>37</v>
      </c>
      <c r="I80" s="11" t="s">
        <v>245</v>
      </c>
      <c r="J80" s="12" t="s">
        <v>246</v>
      </c>
      <c r="K80" s="13" t="s">
        <v>77</v>
      </c>
      <c r="L80" s="11" t="str">
        <f>"000091"</f>
        <v>000091</v>
      </c>
      <c r="M80" s="10">
        <v>43354</v>
      </c>
      <c r="N80" s="11" t="str">
        <f>"000062"</f>
        <v>000062</v>
      </c>
      <c r="O80" s="10">
        <v>43354</v>
      </c>
      <c r="P80" s="11" t="str">
        <f>"000100"</f>
        <v>000100</v>
      </c>
      <c r="Q80" s="10">
        <v>43354</v>
      </c>
      <c r="R80" s="11">
        <v>18</v>
      </c>
      <c r="S80" s="11" t="str">
        <f>"006107"</f>
        <v>006107</v>
      </c>
      <c r="T80" s="10">
        <v>43376</v>
      </c>
      <c r="U80" s="14">
        <v>19.975159999999999</v>
      </c>
      <c r="V80" s="14">
        <v>1.839</v>
      </c>
      <c r="W80" s="14">
        <v>18.13616</v>
      </c>
      <c r="X80" s="11">
        <v>220</v>
      </c>
      <c r="Y80" s="10">
        <v>43377</v>
      </c>
      <c r="Z80" s="11">
        <v>9856235659</v>
      </c>
      <c r="AA80" s="12" t="s">
        <v>156</v>
      </c>
      <c r="AB80" s="11" t="s">
        <v>218</v>
      </c>
      <c r="AC80" s="12" t="s">
        <v>219</v>
      </c>
      <c r="AD80" s="11" t="s">
        <v>44</v>
      </c>
      <c r="AE80" s="12" t="s">
        <v>45</v>
      </c>
      <c r="AF80" s="14">
        <f t="shared" si="0"/>
        <v>0.1997516</v>
      </c>
      <c r="AG80" s="11" t="s">
        <v>118</v>
      </c>
    </row>
    <row r="81" spans="1:33" x14ac:dyDescent="0.2">
      <c r="A81" s="8">
        <v>5800</v>
      </c>
      <c r="B81" s="9" t="s">
        <v>242</v>
      </c>
      <c r="C81" s="10">
        <v>43377</v>
      </c>
      <c r="D81" s="11">
        <v>62</v>
      </c>
      <c r="E81" s="12" t="s">
        <v>34</v>
      </c>
      <c r="F81" s="12" t="s">
        <v>35</v>
      </c>
      <c r="G81" s="12" t="s">
        <v>36</v>
      </c>
      <c r="H81" s="12" t="s">
        <v>37</v>
      </c>
      <c r="I81" s="11" t="s">
        <v>243</v>
      </c>
      <c r="J81" s="12" t="s">
        <v>244</v>
      </c>
      <c r="K81" s="13" t="s">
        <v>77</v>
      </c>
      <c r="L81" s="11" t="str">
        <f>"000092"</f>
        <v>000092</v>
      </c>
      <c r="M81" s="10">
        <v>43354</v>
      </c>
      <c r="N81" s="11" t="str">
        <f>"000063"</f>
        <v>000063</v>
      </c>
      <c r="O81" s="10">
        <v>43354</v>
      </c>
      <c r="P81" s="11" t="str">
        <f>"000099"</f>
        <v>000099</v>
      </c>
      <c r="Q81" s="10">
        <v>43354</v>
      </c>
      <c r="R81" s="11">
        <v>18</v>
      </c>
      <c r="S81" s="11" t="str">
        <f>"006106"</f>
        <v>006106</v>
      </c>
      <c r="T81" s="10">
        <v>43376</v>
      </c>
      <c r="U81" s="14">
        <v>19.997019999999999</v>
      </c>
      <c r="V81" s="14">
        <v>1.8654999999999999</v>
      </c>
      <c r="W81" s="14">
        <v>18.131519999999998</v>
      </c>
      <c r="X81" s="11">
        <v>220</v>
      </c>
      <c r="Y81" s="10">
        <v>43377</v>
      </c>
      <c r="Z81" s="11">
        <v>9536235689</v>
      </c>
      <c r="AA81" s="12" t="s">
        <v>41</v>
      </c>
      <c r="AB81" s="11" t="s">
        <v>218</v>
      </c>
      <c r="AC81" s="12" t="s">
        <v>219</v>
      </c>
      <c r="AD81" s="11" t="s">
        <v>44</v>
      </c>
      <c r="AE81" s="12" t="s">
        <v>45</v>
      </c>
      <c r="AF81" s="14">
        <f t="shared" si="0"/>
        <v>0.19997019999999999</v>
      </c>
      <c r="AG81" s="11" t="s">
        <v>118</v>
      </c>
    </row>
    <row r="82" spans="1:33" x14ac:dyDescent="0.2">
      <c r="A82" s="8">
        <v>5801</v>
      </c>
      <c r="B82" s="9" t="s">
        <v>242</v>
      </c>
      <c r="C82" s="10">
        <v>43377</v>
      </c>
      <c r="D82" s="11">
        <v>62</v>
      </c>
      <c r="E82" s="12" t="s">
        <v>34</v>
      </c>
      <c r="F82" s="12" t="s">
        <v>35</v>
      </c>
      <c r="G82" s="12" t="s">
        <v>36</v>
      </c>
      <c r="H82" s="12" t="s">
        <v>37</v>
      </c>
      <c r="I82" s="11" t="s">
        <v>245</v>
      </c>
      <c r="J82" s="12" t="s">
        <v>246</v>
      </c>
      <c r="K82" s="13" t="s">
        <v>77</v>
      </c>
      <c r="L82" s="11" t="str">
        <f>"000091"</f>
        <v>000091</v>
      </c>
      <c r="M82" s="10">
        <v>43354</v>
      </c>
      <c r="N82" s="11" t="str">
        <f>"000062"</f>
        <v>000062</v>
      </c>
      <c r="O82" s="10">
        <v>43354</v>
      </c>
      <c r="P82" s="11" t="str">
        <f>"000100"</f>
        <v>000100</v>
      </c>
      <c r="Q82" s="10">
        <v>43354</v>
      </c>
      <c r="R82" s="11">
        <v>18</v>
      </c>
      <c r="S82" s="11" t="str">
        <f>"006107"</f>
        <v>006107</v>
      </c>
      <c r="T82" s="10">
        <v>43376</v>
      </c>
      <c r="U82" s="14">
        <v>19.975159999999999</v>
      </c>
      <c r="V82" s="14">
        <v>1.839</v>
      </c>
      <c r="W82" s="14">
        <v>18.13616</v>
      </c>
      <c r="X82" s="11">
        <v>220</v>
      </c>
      <c r="Y82" s="10">
        <v>43377</v>
      </c>
      <c r="Z82" s="11">
        <v>9856235659</v>
      </c>
      <c r="AA82" s="12" t="s">
        <v>156</v>
      </c>
      <c r="AB82" s="11" t="s">
        <v>218</v>
      </c>
      <c r="AC82" s="12" t="s">
        <v>219</v>
      </c>
      <c r="AD82" s="11" t="s">
        <v>44</v>
      </c>
      <c r="AE82" s="12" t="s">
        <v>45</v>
      </c>
      <c r="AF82" s="14">
        <f t="shared" si="0"/>
        <v>0.1997516</v>
      </c>
      <c r="AG82" s="11" t="s">
        <v>118</v>
      </c>
    </row>
    <row r="83" spans="1:33" x14ac:dyDescent="0.2">
      <c r="A83" s="8">
        <v>5862</v>
      </c>
      <c r="B83" s="9" t="s">
        <v>242</v>
      </c>
      <c r="C83" s="10">
        <v>43382</v>
      </c>
      <c r="D83" s="11">
        <v>62</v>
      </c>
      <c r="E83" s="12" t="s">
        <v>34</v>
      </c>
      <c r="F83" s="12" t="s">
        <v>35</v>
      </c>
      <c r="G83" s="12" t="s">
        <v>36</v>
      </c>
      <c r="H83" s="12" t="s">
        <v>37</v>
      </c>
      <c r="I83" s="11" t="s">
        <v>247</v>
      </c>
      <c r="J83" s="12" t="s">
        <v>248</v>
      </c>
      <c r="K83" s="13" t="s">
        <v>217</v>
      </c>
      <c r="L83" s="11" t="str">
        <f>"000072"</f>
        <v>000072</v>
      </c>
      <c r="M83" s="10">
        <v>43308</v>
      </c>
      <c r="N83" s="11" t="str">
        <f>"000073"</f>
        <v>000073</v>
      </c>
      <c r="O83" s="10">
        <v>43368</v>
      </c>
      <c r="P83" s="11" t="str">
        <f>"000111"</f>
        <v>000111</v>
      </c>
      <c r="Q83" s="10">
        <v>43369</v>
      </c>
      <c r="R83" s="11">
        <v>17</v>
      </c>
      <c r="S83" s="11" t="str">
        <f>"006428"</f>
        <v>006428</v>
      </c>
      <c r="T83" s="10">
        <v>43382</v>
      </c>
      <c r="U83" s="14">
        <v>12.9846</v>
      </c>
      <c r="V83" s="14">
        <v>1.2364999999999999</v>
      </c>
      <c r="W83" s="14">
        <v>11.748100000000001</v>
      </c>
      <c r="X83" s="11">
        <v>223</v>
      </c>
      <c r="Y83" s="10">
        <v>43382</v>
      </c>
      <c r="Z83" s="11">
        <v>9902776287</v>
      </c>
      <c r="AA83" s="12" t="s">
        <v>41</v>
      </c>
      <c r="AB83" s="11" t="s">
        <v>57</v>
      </c>
      <c r="AC83" s="12" t="s">
        <v>58</v>
      </c>
      <c r="AD83" s="11" t="s">
        <v>44</v>
      </c>
      <c r="AE83" s="12" t="s">
        <v>45</v>
      </c>
      <c r="AF83" s="14">
        <f t="shared" si="0"/>
        <v>0.12984600000000002</v>
      </c>
      <c r="AG83" s="11" t="s">
        <v>118</v>
      </c>
    </row>
    <row r="84" spans="1:33" x14ac:dyDescent="0.2">
      <c r="A84" s="8">
        <v>5863</v>
      </c>
      <c r="B84" s="9" t="s">
        <v>242</v>
      </c>
      <c r="C84" s="10">
        <v>43382</v>
      </c>
      <c r="D84" s="11">
        <v>62</v>
      </c>
      <c r="E84" s="12" t="s">
        <v>34</v>
      </c>
      <c r="F84" s="12" t="s">
        <v>35</v>
      </c>
      <c r="G84" s="12" t="s">
        <v>36</v>
      </c>
      <c r="H84" s="12" t="s">
        <v>37</v>
      </c>
      <c r="I84" s="11" t="s">
        <v>247</v>
      </c>
      <c r="J84" s="12" t="s">
        <v>248</v>
      </c>
      <c r="K84" s="13" t="s">
        <v>217</v>
      </c>
      <c r="L84" s="11" t="str">
        <f>"000072"</f>
        <v>000072</v>
      </c>
      <c r="M84" s="10">
        <v>43308</v>
      </c>
      <c r="N84" s="11" t="str">
        <f>"000073"</f>
        <v>000073</v>
      </c>
      <c r="O84" s="10">
        <v>43368</v>
      </c>
      <c r="P84" s="11" t="str">
        <f>"000111"</f>
        <v>000111</v>
      </c>
      <c r="Q84" s="10">
        <v>43369</v>
      </c>
      <c r="R84" s="11">
        <v>17</v>
      </c>
      <c r="S84" s="11" t="str">
        <f>"006428"</f>
        <v>006428</v>
      </c>
      <c r="T84" s="10">
        <v>43382</v>
      </c>
      <c r="U84" s="14">
        <v>12.9846</v>
      </c>
      <c r="V84" s="14">
        <v>1.2364999999999999</v>
      </c>
      <c r="W84" s="14">
        <v>11.748100000000001</v>
      </c>
      <c r="X84" s="11">
        <v>223</v>
      </c>
      <c r="Y84" s="10">
        <v>43382</v>
      </c>
      <c r="Z84" s="11">
        <v>9902776287</v>
      </c>
      <c r="AA84" s="12" t="s">
        <v>41</v>
      </c>
      <c r="AB84" s="11" t="s">
        <v>57</v>
      </c>
      <c r="AC84" s="12" t="s">
        <v>58</v>
      </c>
      <c r="AD84" s="11" t="s">
        <v>44</v>
      </c>
      <c r="AE84" s="12" t="s">
        <v>45</v>
      </c>
      <c r="AF84" s="14">
        <f t="shared" si="0"/>
        <v>0.12984600000000002</v>
      </c>
      <c r="AG84" s="11" t="s">
        <v>118</v>
      </c>
    </row>
    <row r="85" spans="1:33" x14ac:dyDescent="0.2">
      <c r="A85" s="8">
        <v>6538</v>
      </c>
      <c r="B85" s="9" t="s">
        <v>242</v>
      </c>
      <c r="C85" s="10">
        <v>43389</v>
      </c>
      <c r="D85" s="11">
        <v>62</v>
      </c>
      <c r="E85" s="12" t="s">
        <v>34</v>
      </c>
      <c r="F85" s="12" t="s">
        <v>35</v>
      </c>
      <c r="G85" s="12" t="s">
        <v>36</v>
      </c>
      <c r="H85" s="12" t="s">
        <v>37</v>
      </c>
      <c r="I85" s="11" t="s">
        <v>249</v>
      </c>
      <c r="J85" s="12" t="s">
        <v>250</v>
      </c>
      <c r="K85" s="13" t="s">
        <v>49</v>
      </c>
      <c r="L85" s="11" t="str">
        <f>"000222"</f>
        <v>000222</v>
      </c>
      <c r="M85" s="10">
        <v>43165</v>
      </c>
      <c r="N85" s="11" t="str">
        <f>"000073"</f>
        <v>000073</v>
      </c>
      <c r="O85" s="10">
        <v>43187</v>
      </c>
      <c r="P85" s="11" t="str">
        <f>"000290"</f>
        <v>000290</v>
      </c>
      <c r="Q85" s="10">
        <v>43187</v>
      </c>
      <c r="R85" s="11">
        <v>18</v>
      </c>
      <c r="S85" s="11" t="str">
        <f>"006719"</f>
        <v>006719</v>
      </c>
      <c r="T85" s="10">
        <v>43388</v>
      </c>
      <c r="U85" s="14">
        <v>11.45049</v>
      </c>
      <c r="V85" s="14">
        <v>0.58450000000000002</v>
      </c>
      <c r="W85" s="14">
        <v>10.86599</v>
      </c>
      <c r="X85" s="11">
        <v>240</v>
      </c>
      <c r="Y85" s="10">
        <v>43389</v>
      </c>
      <c r="Z85" s="11">
        <v>9865659890</v>
      </c>
      <c r="AA85" s="12" t="s">
        <v>186</v>
      </c>
      <c r="AB85" s="11" t="s">
        <v>251</v>
      </c>
      <c r="AC85" s="12" t="s">
        <v>252</v>
      </c>
      <c r="AD85" s="11" t="s">
        <v>44</v>
      </c>
      <c r="AE85" s="12" t="s">
        <v>45</v>
      </c>
      <c r="AF85" s="14">
        <f t="shared" si="0"/>
        <v>0.11450490000000001</v>
      </c>
      <c r="AG85" s="11" t="s">
        <v>46</v>
      </c>
    </row>
    <row r="86" spans="1:33" x14ac:dyDescent="0.2">
      <c r="A86" s="8">
        <v>6539</v>
      </c>
      <c r="B86" s="9" t="s">
        <v>242</v>
      </c>
      <c r="C86" s="10">
        <v>43389</v>
      </c>
      <c r="D86" s="11">
        <v>62</v>
      </c>
      <c r="E86" s="12" t="s">
        <v>34</v>
      </c>
      <c r="F86" s="12" t="s">
        <v>35</v>
      </c>
      <c r="G86" s="12" t="s">
        <v>36</v>
      </c>
      <c r="H86" s="12" t="s">
        <v>37</v>
      </c>
      <c r="I86" s="11" t="s">
        <v>253</v>
      </c>
      <c r="J86" s="12" t="s">
        <v>254</v>
      </c>
      <c r="K86" s="13" t="s">
        <v>49</v>
      </c>
      <c r="L86" s="11" t="str">
        <f>"000223"</f>
        <v>000223</v>
      </c>
      <c r="M86" s="10">
        <v>43165</v>
      </c>
      <c r="N86" s="11" t="str">
        <f>"000074"</f>
        <v>000074</v>
      </c>
      <c r="O86" s="10">
        <v>43187</v>
      </c>
      <c r="P86" s="11" t="str">
        <f>"000289"</f>
        <v>000289</v>
      </c>
      <c r="Q86" s="10">
        <v>43187</v>
      </c>
      <c r="R86" s="11">
        <v>18</v>
      </c>
      <c r="S86" s="11" t="str">
        <f>"006720"</f>
        <v>006720</v>
      </c>
      <c r="T86" s="10">
        <v>43388</v>
      </c>
      <c r="U86" s="14">
        <v>11.46021</v>
      </c>
      <c r="V86" s="14">
        <v>0.58499999999999996</v>
      </c>
      <c r="W86" s="14">
        <v>10.875209999999999</v>
      </c>
      <c r="X86" s="11">
        <v>240</v>
      </c>
      <c r="Y86" s="10">
        <v>43389</v>
      </c>
      <c r="Z86" s="11">
        <v>9856589569</v>
      </c>
      <c r="AA86" s="12" t="s">
        <v>186</v>
      </c>
      <c r="AB86" s="11" t="s">
        <v>251</v>
      </c>
      <c r="AC86" s="12" t="s">
        <v>252</v>
      </c>
      <c r="AD86" s="11" t="s">
        <v>44</v>
      </c>
      <c r="AE86" s="12" t="s">
        <v>45</v>
      </c>
      <c r="AF86" s="14">
        <f t="shared" si="0"/>
        <v>0.1146021</v>
      </c>
      <c r="AG86" s="11" t="s">
        <v>46</v>
      </c>
    </row>
    <row r="87" spans="1:33" x14ac:dyDescent="0.2">
      <c r="A87" s="8">
        <v>6540</v>
      </c>
      <c r="B87" s="9" t="s">
        <v>242</v>
      </c>
      <c r="C87" s="10">
        <v>43389</v>
      </c>
      <c r="D87" s="11">
        <v>62</v>
      </c>
      <c r="E87" s="12" t="s">
        <v>34</v>
      </c>
      <c r="F87" s="12" t="s">
        <v>35</v>
      </c>
      <c r="G87" s="12" t="s">
        <v>36</v>
      </c>
      <c r="H87" s="12" t="s">
        <v>37</v>
      </c>
      <c r="I87" s="11" t="s">
        <v>255</v>
      </c>
      <c r="J87" s="12" t="s">
        <v>256</v>
      </c>
      <c r="K87" s="13" t="s">
        <v>40</v>
      </c>
      <c r="L87" s="11" t="str">
        <f>"000221"</f>
        <v>000221</v>
      </c>
      <c r="M87" s="10">
        <v>43165</v>
      </c>
      <c r="N87" s="11" t="str">
        <f>"000002"</f>
        <v>000002</v>
      </c>
      <c r="O87" s="10">
        <v>43217</v>
      </c>
      <c r="P87" s="11" t="str">
        <f>"000014"</f>
        <v>000014</v>
      </c>
      <c r="Q87" s="10">
        <v>43223</v>
      </c>
      <c r="R87" s="11">
        <v>18</v>
      </c>
      <c r="S87" s="11" t="str">
        <f>"006721"</f>
        <v>006721</v>
      </c>
      <c r="T87" s="10">
        <v>43388</v>
      </c>
      <c r="U87" s="14">
        <v>11.4145</v>
      </c>
      <c r="V87" s="14">
        <v>9.3252000000000006</v>
      </c>
      <c r="W87" s="14">
        <v>2.0893000000000002</v>
      </c>
      <c r="X87" s="11">
        <v>240</v>
      </c>
      <c r="Y87" s="10">
        <v>43389</v>
      </c>
      <c r="Z87" s="11">
        <v>9845659896</v>
      </c>
      <c r="AA87" s="12" t="s">
        <v>186</v>
      </c>
      <c r="AB87" s="11" t="s">
        <v>251</v>
      </c>
      <c r="AC87" s="12" t="s">
        <v>252</v>
      </c>
      <c r="AD87" s="11" t="s">
        <v>44</v>
      </c>
      <c r="AE87" s="12" t="s">
        <v>45</v>
      </c>
      <c r="AF87" s="14">
        <f t="shared" si="0"/>
        <v>0.114145</v>
      </c>
      <c r="AG87" s="11" t="s">
        <v>59</v>
      </c>
    </row>
    <row r="88" spans="1:33" x14ac:dyDescent="0.2">
      <c r="A88" s="8">
        <v>6541</v>
      </c>
      <c r="B88" s="9" t="s">
        <v>242</v>
      </c>
      <c r="C88" s="10">
        <v>43389</v>
      </c>
      <c r="D88" s="11">
        <v>62</v>
      </c>
      <c r="E88" s="12" t="s">
        <v>34</v>
      </c>
      <c r="F88" s="12" t="s">
        <v>35</v>
      </c>
      <c r="G88" s="12" t="s">
        <v>36</v>
      </c>
      <c r="H88" s="12" t="s">
        <v>37</v>
      </c>
      <c r="I88" s="11" t="s">
        <v>257</v>
      </c>
      <c r="J88" s="12" t="s">
        <v>258</v>
      </c>
      <c r="K88" s="13" t="s">
        <v>49</v>
      </c>
      <c r="L88" s="11" t="str">
        <f>"000228"</f>
        <v>000228</v>
      </c>
      <c r="M88" s="10">
        <v>43077</v>
      </c>
      <c r="N88" s="11" t="str">
        <f>"000013"</f>
        <v>000013</v>
      </c>
      <c r="O88" s="10">
        <v>42460</v>
      </c>
      <c r="P88" s="11" t="str">
        <f>"000240"</f>
        <v>000240</v>
      </c>
      <c r="Q88" s="10">
        <v>42422</v>
      </c>
      <c r="R88" s="11">
        <v>13</v>
      </c>
      <c r="S88" s="11" t="str">
        <f>"006515"</f>
        <v>006515</v>
      </c>
      <c r="T88" s="10">
        <v>43383</v>
      </c>
      <c r="U88" s="14">
        <v>4.8599100000000002</v>
      </c>
      <c r="V88" s="14">
        <v>0.69359999999999999</v>
      </c>
      <c r="W88" s="14">
        <v>4.1663100000000002</v>
      </c>
      <c r="X88" s="11">
        <v>244</v>
      </c>
      <c r="Y88" s="10">
        <v>43389</v>
      </c>
      <c r="Z88" s="11">
        <v>9856458980</v>
      </c>
      <c r="AA88" s="12" t="s">
        <v>259</v>
      </c>
      <c r="AB88" s="11" t="s">
        <v>51</v>
      </c>
      <c r="AC88" s="12" t="s">
        <v>52</v>
      </c>
      <c r="AD88" s="11" t="s">
        <v>44</v>
      </c>
      <c r="AE88" s="12" t="s">
        <v>45</v>
      </c>
      <c r="AF88" s="14">
        <f t="shared" si="0"/>
        <v>4.8599099999999999E-2</v>
      </c>
      <c r="AG88" s="11" t="s">
        <v>46</v>
      </c>
    </row>
    <row r="89" spans="1:33" x14ac:dyDescent="0.2">
      <c r="A89" s="8">
        <v>6848</v>
      </c>
      <c r="B89" s="9" t="s">
        <v>242</v>
      </c>
      <c r="C89" s="10">
        <v>43398</v>
      </c>
      <c r="D89" s="11">
        <v>62</v>
      </c>
      <c r="E89" s="12" t="s">
        <v>34</v>
      </c>
      <c r="F89" s="12" t="s">
        <v>35</v>
      </c>
      <c r="G89" s="12" t="s">
        <v>36</v>
      </c>
      <c r="H89" s="12" t="s">
        <v>37</v>
      </c>
      <c r="I89" s="11" t="s">
        <v>260</v>
      </c>
      <c r="J89" s="12" t="s">
        <v>261</v>
      </c>
      <c r="K89" s="13" t="s">
        <v>49</v>
      </c>
      <c r="L89" s="11" t="str">
        <f>"000084"</f>
        <v>000084</v>
      </c>
      <c r="M89" s="10">
        <v>43336</v>
      </c>
      <c r="N89" s="11" t="str">
        <f>"000057"</f>
        <v>000057</v>
      </c>
      <c r="O89" s="10">
        <v>43339</v>
      </c>
      <c r="P89" s="11" t="str">
        <f>"000090"</f>
        <v>000090</v>
      </c>
      <c r="Q89" s="10">
        <v>43341</v>
      </c>
      <c r="R89" s="11">
        <v>18</v>
      </c>
      <c r="S89" s="11" t="str">
        <f>"006851"</f>
        <v>006851</v>
      </c>
      <c r="T89" s="10">
        <v>43390</v>
      </c>
      <c r="U89" s="14">
        <v>39.981830000000002</v>
      </c>
      <c r="V89" s="14">
        <v>4.3730000000000002</v>
      </c>
      <c r="W89" s="14">
        <v>35.608829999999998</v>
      </c>
      <c r="X89" s="11">
        <v>249</v>
      </c>
      <c r="Y89" s="10">
        <v>43398</v>
      </c>
      <c r="Z89" s="11">
        <v>9449156198</v>
      </c>
      <c r="AA89" s="12" t="s">
        <v>41</v>
      </c>
      <c r="AB89" s="11" t="s">
        <v>72</v>
      </c>
      <c r="AC89" s="12" t="s">
        <v>73</v>
      </c>
      <c r="AD89" s="11" t="s">
        <v>44</v>
      </c>
      <c r="AE89" s="12" t="s">
        <v>45</v>
      </c>
      <c r="AF89" s="14">
        <f t="shared" si="0"/>
        <v>0.39981830000000002</v>
      </c>
      <c r="AG89" s="11" t="s">
        <v>118</v>
      </c>
    </row>
    <row r="90" spans="1:33" x14ac:dyDescent="0.2">
      <c r="A90" s="8">
        <v>7216</v>
      </c>
      <c r="B90" s="9" t="s">
        <v>262</v>
      </c>
      <c r="C90" s="10">
        <v>43420</v>
      </c>
      <c r="D90" s="11">
        <v>62</v>
      </c>
      <c r="E90" s="12" t="s">
        <v>34</v>
      </c>
      <c r="F90" s="12" t="s">
        <v>35</v>
      </c>
      <c r="G90" s="12" t="s">
        <v>36</v>
      </c>
      <c r="H90" s="12" t="s">
        <v>37</v>
      </c>
      <c r="I90" s="11" t="s">
        <v>263</v>
      </c>
      <c r="J90" s="12" t="s">
        <v>264</v>
      </c>
      <c r="K90" s="13" t="s">
        <v>49</v>
      </c>
      <c r="L90" s="11" t="str">
        <f>"000042"</f>
        <v>000042</v>
      </c>
      <c r="M90" s="10">
        <v>43297</v>
      </c>
      <c r="N90" s="11" t="str">
        <f>"000101"</f>
        <v>000101</v>
      </c>
      <c r="O90" s="10">
        <v>43313</v>
      </c>
      <c r="P90" s="11" t="str">
        <f>"000100"</f>
        <v>000100</v>
      </c>
      <c r="Q90" s="10">
        <v>43313</v>
      </c>
      <c r="R90" s="11">
        <v>18</v>
      </c>
      <c r="S90" s="11" t="str">
        <f>"007310"</f>
        <v>007310</v>
      </c>
      <c r="T90" s="10">
        <v>43417</v>
      </c>
      <c r="U90" s="14">
        <v>9.9823500000000003</v>
      </c>
      <c r="V90" s="14">
        <v>1.0586</v>
      </c>
      <c r="W90" s="14">
        <v>8.9237500000000001</v>
      </c>
      <c r="X90" s="11">
        <v>265</v>
      </c>
      <c r="Y90" s="10">
        <v>43420</v>
      </c>
      <c r="Z90" s="11">
        <v>9945525730</v>
      </c>
      <c r="AA90" s="12" t="s">
        <v>265</v>
      </c>
      <c r="AB90" s="11" t="s">
        <v>266</v>
      </c>
      <c r="AC90" s="12" t="s">
        <v>267</v>
      </c>
      <c r="AD90" s="11" t="s">
        <v>67</v>
      </c>
      <c r="AE90" s="12" t="s">
        <v>68</v>
      </c>
      <c r="AF90" s="14">
        <f t="shared" si="0"/>
        <v>9.9823500000000009E-2</v>
      </c>
      <c r="AG90" s="11" t="s">
        <v>118</v>
      </c>
    </row>
    <row r="91" spans="1:33" x14ac:dyDescent="0.2">
      <c r="A91" s="8">
        <v>7217</v>
      </c>
      <c r="B91" s="9" t="s">
        <v>262</v>
      </c>
      <c r="C91" s="10">
        <v>43420</v>
      </c>
      <c r="D91" s="11">
        <v>62</v>
      </c>
      <c r="E91" s="12" t="s">
        <v>34</v>
      </c>
      <c r="F91" s="12" t="s">
        <v>35</v>
      </c>
      <c r="G91" s="12" t="s">
        <v>36</v>
      </c>
      <c r="H91" s="12" t="s">
        <v>37</v>
      </c>
      <c r="I91" s="11" t="s">
        <v>268</v>
      </c>
      <c r="J91" s="12" t="s">
        <v>269</v>
      </c>
      <c r="K91" s="13" t="s">
        <v>49</v>
      </c>
      <c r="L91" s="11" t="str">
        <f>"000068"</f>
        <v>000068</v>
      </c>
      <c r="M91" s="10">
        <v>43343</v>
      </c>
      <c r="N91" s="11" t="str">
        <f>"000139"</f>
        <v>000139</v>
      </c>
      <c r="O91" s="10">
        <v>43360</v>
      </c>
      <c r="P91" s="11" t="str">
        <f>"000136"</f>
        <v>000136</v>
      </c>
      <c r="Q91" s="10">
        <v>43360</v>
      </c>
      <c r="R91" s="11">
        <v>18</v>
      </c>
      <c r="S91" s="11" t="str">
        <f>"007345"</f>
        <v>007345</v>
      </c>
      <c r="T91" s="10">
        <v>43418</v>
      </c>
      <c r="U91" s="14">
        <v>74.695539999999994</v>
      </c>
      <c r="V91" s="14">
        <v>7.9196</v>
      </c>
      <c r="W91" s="14">
        <v>66.775940000000006</v>
      </c>
      <c r="X91" s="11">
        <v>265</v>
      </c>
      <c r="Y91" s="10">
        <v>43420</v>
      </c>
      <c r="Z91" s="11">
        <v>9945525730</v>
      </c>
      <c r="AA91" s="12" t="s">
        <v>265</v>
      </c>
      <c r="AB91" s="11" t="s">
        <v>270</v>
      </c>
      <c r="AC91" s="12" t="s">
        <v>271</v>
      </c>
      <c r="AD91" s="11" t="s">
        <v>67</v>
      </c>
      <c r="AE91" s="12" t="s">
        <v>68</v>
      </c>
      <c r="AF91" s="14">
        <f t="shared" si="0"/>
        <v>0.74695539999999994</v>
      </c>
      <c r="AG91" s="11" t="s">
        <v>118</v>
      </c>
    </row>
    <row r="92" spans="1:33" x14ac:dyDescent="0.2">
      <c r="A92" s="8">
        <v>7324</v>
      </c>
      <c r="B92" s="9" t="s">
        <v>262</v>
      </c>
      <c r="C92" s="10">
        <v>43424</v>
      </c>
      <c r="D92" s="11">
        <v>62</v>
      </c>
      <c r="E92" s="12" t="s">
        <v>34</v>
      </c>
      <c r="F92" s="12" t="s">
        <v>35</v>
      </c>
      <c r="G92" s="12" t="s">
        <v>36</v>
      </c>
      <c r="H92" s="12" t="s">
        <v>37</v>
      </c>
      <c r="I92" s="11" t="s">
        <v>272</v>
      </c>
      <c r="J92" s="12" t="s">
        <v>273</v>
      </c>
      <c r="K92" s="13" t="s">
        <v>274</v>
      </c>
      <c r="L92" s="11" t="str">
        <f>"000067"</f>
        <v>000067</v>
      </c>
      <c r="M92" s="10">
        <v>43300</v>
      </c>
      <c r="N92" s="11" t="str">
        <f>"000020"</f>
        <v>000020</v>
      </c>
      <c r="O92" s="10">
        <v>43300</v>
      </c>
      <c r="P92" s="11" t="str">
        <f>"000045"</f>
        <v>000045</v>
      </c>
      <c r="Q92" s="10">
        <v>43304</v>
      </c>
      <c r="R92" s="11">
        <v>18</v>
      </c>
      <c r="S92" s="11" t="str">
        <f>"007268"</f>
        <v>007268</v>
      </c>
      <c r="T92" s="10">
        <v>43407</v>
      </c>
      <c r="U92" s="14">
        <v>49.378</v>
      </c>
      <c r="V92" s="14">
        <v>5.1055999999999999</v>
      </c>
      <c r="W92" s="14">
        <v>44.272399999999998</v>
      </c>
      <c r="X92" s="11">
        <v>271</v>
      </c>
      <c r="Y92" s="10">
        <v>43424</v>
      </c>
      <c r="Z92" s="11">
        <v>9856235698</v>
      </c>
      <c r="AA92" s="12" t="s">
        <v>41</v>
      </c>
      <c r="AB92" s="11" t="s">
        <v>275</v>
      </c>
      <c r="AC92" s="12" t="s">
        <v>276</v>
      </c>
      <c r="AD92" s="11" t="s">
        <v>44</v>
      </c>
      <c r="AE92" s="12" t="s">
        <v>45</v>
      </c>
      <c r="AF92" s="14">
        <f t="shared" si="0"/>
        <v>0.49378</v>
      </c>
      <c r="AG92" s="11" t="s">
        <v>118</v>
      </c>
    </row>
    <row r="93" spans="1:33" x14ac:dyDescent="0.2">
      <c r="A93" s="8">
        <v>7632</v>
      </c>
      <c r="B93" s="9" t="s">
        <v>277</v>
      </c>
      <c r="C93" s="10">
        <v>43438</v>
      </c>
      <c r="D93" s="11">
        <v>62</v>
      </c>
      <c r="E93" s="12" t="s">
        <v>34</v>
      </c>
      <c r="F93" s="12" t="s">
        <v>35</v>
      </c>
      <c r="G93" s="12" t="s">
        <v>36</v>
      </c>
      <c r="H93" s="12" t="s">
        <v>37</v>
      </c>
      <c r="I93" s="11" t="s">
        <v>278</v>
      </c>
      <c r="J93" s="12" t="s">
        <v>279</v>
      </c>
      <c r="K93" s="13" t="s">
        <v>49</v>
      </c>
      <c r="L93" s="11" t="str">
        <f>"000090"</f>
        <v>000090</v>
      </c>
      <c r="M93" s="10">
        <v>43347</v>
      </c>
      <c r="N93" s="11" t="str">
        <f>"000061"</f>
        <v>000061</v>
      </c>
      <c r="O93" s="10">
        <v>43349</v>
      </c>
      <c r="P93" s="11" t="str">
        <f>"000097"</f>
        <v>000097</v>
      </c>
      <c r="Q93" s="10">
        <v>43354</v>
      </c>
      <c r="R93" s="11">
        <v>18</v>
      </c>
      <c r="S93" s="11" t="str">
        <f>"007646"</f>
        <v>007646</v>
      </c>
      <c r="T93" s="10">
        <v>43433</v>
      </c>
      <c r="U93" s="14">
        <v>19.902200000000001</v>
      </c>
      <c r="V93" s="14">
        <v>2.0907</v>
      </c>
      <c r="W93" s="14">
        <v>17.811499999999999</v>
      </c>
      <c r="X93" s="11">
        <v>285</v>
      </c>
      <c r="Y93" s="10">
        <v>43438</v>
      </c>
      <c r="Z93" s="11">
        <v>9895235986</v>
      </c>
      <c r="AA93" s="12" t="s">
        <v>41</v>
      </c>
      <c r="AB93" s="11" t="s">
        <v>72</v>
      </c>
      <c r="AC93" s="12" t="s">
        <v>73</v>
      </c>
      <c r="AD93" s="11" t="s">
        <v>44</v>
      </c>
      <c r="AE93" s="12" t="s">
        <v>45</v>
      </c>
      <c r="AF93" s="14">
        <f t="shared" si="0"/>
        <v>0.199022</v>
      </c>
      <c r="AG93" s="11" t="s">
        <v>118</v>
      </c>
    </row>
    <row r="94" spans="1:33" x14ac:dyDescent="0.2">
      <c r="A94" s="8">
        <v>7726</v>
      </c>
      <c r="B94" s="9" t="s">
        <v>277</v>
      </c>
      <c r="C94" s="10">
        <v>43448</v>
      </c>
      <c r="D94" s="11">
        <v>62</v>
      </c>
      <c r="E94" s="12" t="s">
        <v>34</v>
      </c>
      <c r="F94" s="12" t="s">
        <v>35</v>
      </c>
      <c r="G94" s="12" t="s">
        <v>36</v>
      </c>
      <c r="H94" s="12" t="s">
        <v>37</v>
      </c>
      <c r="I94" s="11" t="s">
        <v>280</v>
      </c>
      <c r="J94" s="12" t="s">
        <v>281</v>
      </c>
      <c r="K94" s="13" t="s">
        <v>40</v>
      </c>
      <c r="L94" s="11" t="str">
        <f>"000166"</f>
        <v>000166</v>
      </c>
      <c r="M94" s="10">
        <v>43061</v>
      </c>
      <c r="N94" s="11" t="str">
        <f>"000016"</f>
        <v>000016</v>
      </c>
      <c r="O94" s="10">
        <v>43061</v>
      </c>
      <c r="P94" s="11" t="str">
        <f>"000206"</f>
        <v>000206</v>
      </c>
      <c r="Q94" s="10">
        <v>43062</v>
      </c>
      <c r="R94" s="11">
        <v>17</v>
      </c>
      <c r="S94" s="11" t="str">
        <f>"007911"</f>
        <v>007911</v>
      </c>
      <c r="T94" s="10">
        <v>43445</v>
      </c>
      <c r="U94" s="14">
        <v>20.936440000000001</v>
      </c>
      <c r="V94" s="14">
        <v>2.4289000000000001</v>
      </c>
      <c r="W94" s="14">
        <v>18.507539999999999</v>
      </c>
      <c r="X94" s="11">
        <v>292</v>
      </c>
      <c r="Y94" s="10">
        <v>43448</v>
      </c>
      <c r="Z94" s="11">
        <v>9448049099</v>
      </c>
      <c r="AA94" s="12" t="s">
        <v>56</v>
      </c>
      <c r="AB94" s="11" t="s">
        <v>201</v>
      </c>
      <c r="AC94" s="12" t="s">
        <v>202</v>
      </c>
      <c r="AD94" s="11" t="s">
        <v>44</v>
      </c>
      <c r="AE94" s="12" t="s">
        <v>45</v>
      </c>
      <c r="AF94" s="14">
        <f t="shared" si="0"/>
        <v>0.20936440000000001</v>
      </c>
      <c r="AG94" s="11" t="s">
        <v>46</v>
      </c>
    </row>
    <row r="95" spans="1:33" x14ac:dyDescent="0.2">
      <c r="A95" s="8">
        <v>7727</v>
      </c>
      <c r="B95" s="9" t="s">
        <v>277</v>
      </c>
      <c r="C95" s="10">
        <v>43448</v>
      </c>
      <c r="D95" s="11">
        <v>62</v>
      </c>
      <c r="E95" s="12" t="s">
        <v>34</v>
      </c>
      <c r="F95" s="12" t="s">
        <v>35</v>
      </c>
      <c r="G95" s="12" t="s">
        <v>36</v>
      </c>
      <c r="H95" s="12" t="s">
        <v>37</v>
      </c>
      <c r="I95" s="11" t="s">
        <v>282</v>
      </c>
      <c r="J95" s="12" t="s">
        <v>283</v>
      </c>
      <c r="K95" s="13" t="s">
        <v>40</v>
      </c>
      <c r="L95" s="11" t="str">
        <f>"000165"</f>
        <v>000165</v>
      </c>
      <c r="M95" s="10">
        <v>43061</v>
      </c>
      <c r="N95" s="11" t="str">
        <f>"000017"</f>
        <v>000017</v>
      </c>
      <c r="O95" s="10">
        <v>43061</v>
      </c>
      <c r="P95" s="11" t="str">
        <f>"000207"</f>
        <v>000207</v>
      </c>
      <c r="Q95" s="10">
        <v>43062</v>
      </c>
      <c r="R95" s="11">
        <v>17</v>
      </c>
      <c r="S95" s="11" t="str">
        <f>"007912"</f>
        <v>007912</v>
      </c>
      <c r="T95" s="10">
        <v>43445</v>
      </c>
      <c r="U95" s="14">
        <v>5.2215999999999996</v>
      </c>
      <c r="V95" s="14">
        <v>0.55469999999999997</v>
      </c>
      <c r="W95" s="14">
        <v>4.6669</v>
      </c>
      <c r="X95" s="11">
        <v>292</v>
      </c>
      <c r="Y95" s="10">
        <v>43448</v>
      </c>
      <c r="Z95" s="11">
        <v>9448049099</v>
      </c>
      <c r="AA95" s="12" t="s">
        <v>56</v>
      </c>
      <c r="AB95" s="11" t="s">
        <v>51</v>
      </c>
      <c r="AC95" s="12" t="s">
        <v>52</v>
      </c>
      <c r="AD95" s="11" t="s">
        <v>44</v>
      </c>
      <c r="AE95" s="12" t="s">
        <v>45</v>
      </c>
      <c r="AF95" s="14">
        <f t="shared" si="0"/>
        <v>5.2215999999999999E-2</v>
      </c>
      <c r="AG95" s="11" t="s">
        <v>46</v>
      </c>
    </row>
    <row r="96" spans="1:33" x14ac:dyDescent="0.2">
      <c r="A96" s="8">
        <v>7863</v>
      </c>
      <c r="B96" s="9" t="s">
        <v>277</v>
      </c>
      <c r="C96" s="10">
        <v>43453</v>
      </c>
      <c r="D96" s="11">
        <v>62</v>
      </c>
      <c r="E96" s="12" t="s">
        <v>34</v>
      </c>
      <c r="F96" s="12" t="s">
        <v>35</v>
      </c>
      <c r="G96" s="12" t="s">
        <v>36</v>
      </c>
      <c r="H96" s="12" t="s">
        <v>37</v>
      </c>
      <c r="I96" s="11" t="s">
        <v>284</v>
      </c>
      <c r="J96" s="12" t="s">
        <v>285</v>
      </c>
      <c r="K96" s="13" t="s">
        <v>55</v>
      </c>
      <c r="L96" s="11" t="str">
        <f>"000117"</f>
        <v>000117</v>
      </c>
      <c r="M96" s="10">
        <v>43390</v>
      </c>
      <c r="N96" s="11" t="str">
        <f>"000103"</f>
        <v>000103</v>
      </c>
      <c r="O96" s="10">
        <v>43405</v>
      </c>
      <c r="P96" s="11" t="str">
        <f>"000154"</f>
        <v>000154</v>
      </c>
      <c r="Q96" s="10">
        <v>43406</v>
      </c>
      <c r="R96" s="11">
        <v>18</v>
      </c>
      <c r="S96" s="11" t="str">
        <f>"008078"</f>
        <v>008078</v>
      </c>
      <c r="T96" s="10">
        <v>43451</v>
      </c>
      <c r="U96" s="14">
        <v>4.7549299999999999</v>
      </c>
      <c r="V96" s="14">
        <v>0.48509999999999998</v>
      </c>
      <c r="W96" s="14">
        <v>4.2698299999999998</v>
      </c>
      <c r="X96" s="11">
        <v>296</v>
      </c>
      <c r="Y96" s="10">
        <v>43453</v>
      </c>
      <c r="Z96" s="11">
        <v>8895965989</v>
      </c>
      <c r="AA96" s="12" t="s">
        <v>41</v>
      </c>
      <c r="AB96" s="11" t="s">
        <v>270</v>
      </c>
      <c r="AC96" s="12" t="s">
        <v>271</v>
      </c>
      <c r="AD96" s="11" t="s">
        <v>44</v>
      </c>
      <c r="AE96" s="12" t="s">
        <v>45</v>
      </c>
      <c r="AF96" s="14">
        <f t="shared" si="0"/>
        <v>4.7549299999999996E-2</v>
      </c>
      <c r="AG96" s="11" t="s">
        <v>118</v>
      </c>
    </row>
    <row r="97" spans="1:33" x14ac:dyDescent="0.2">
      <c r="A97" s="8">
        <v>7864</v>
      </c>
      <c r="B97" s="9" t="s">
        <v>277</v>
      </c>
      <c r="C97" s="10">
        <v>43453</v>
      </c>
      <c r="D97" s="11">
        <v>62</v>
      </c>
      <c r="E97" s="12" t="s">
        <v>34</v>
      </c>
      <c r="F97" s="12" t="s">
        <v>35</v>
      </c>
      <c r="G97" s="12" t="s">
        <v>36</v>
      </c>
      <c r="H97" s="12" t="s">
        <v>37</v>
      </c>
      <c r="I97" s="11" t="s">
        <v>286</v>
      </c>
      <c r="J97" s="12" t="s">
        <v>287</v>
      </c>
      <c r="K97" s="13" t="s">
        <v>49</v>
      </c>
      <c r="L97" s="11" t="str">
        <f>"000089"</f>
        <v>000089</v>
      </c>
      <c r="M97" s="10">
        <v>43347</v>
      </c>
      <c r="N97" s="11" t="str">
        <f>"000060"</f>
        <v>000060</v>
      </c>
      <c r="O97" s="10">
        <v>43349</v>
      </c>
      <c r="P97" s="11" t="str">
        <f>"000098"</f>
        <v>000098</v>
      </c>
      <c r="Q97" s="10">
        <v>43354</v>
      </c>
      <c r="R97" s="11">
        <v>18</v>
      </c>
      <c r="S97" s="11" t="str">
        <f>"007886"</f>
        <v>007886</v>
      </c>
      <c r="T97" s="10">
        <v>43445</v>
      </c>
      <c r="U97" s="14">
        <v>39.97025</v>
      </c>
      <c r="V97" s="14">
        <v>4.2522000000000002</v>
      </c>
      <c r="W97" s="14">
        <v>35.718049999999998</v>
      </c>
      <c r="X97" s="11">
        <v>297</v>
      </c>
      <c r="Y97" s="10">
        <v>43453</v>
      </c>
      <c r="Z97" s="11">
        <v>9856232659</v>
      </c>
      <c r="AA97" s="12" t="s">
        <v>41</v>
      </c>
      <c r="AB97" s="11" t="s">
        <v>72</v>
      </c>
      <c r="AC97" s="12" t="s">
        <v>73</v>
      </c>
      <c r="AD97" s="11" t="s">
        <v>44</v>
      </c>
      <c r="AE97" s="12" t="s">
        <v>45</v>
      </c>
      <c r="AF97" s="14">
        <f t="shared" si="0"/>
        <v>0.39970250000000002</v>
      </c>
      <c r="AG97" s="11" t="s">
        <v>118</v>
      </c>
    </row>
    <row r="98" spans="1:33" x14ac:dyDescent="0.2">
      <c r="A98" s="8">
        <v>7994</v>
      </c>
      <c r="B98" s="9" t="s">
        <v>277</v>
      </c>
      <c r="C98" s="10">
        <v>43455</v>
      </c>
      <c r="D98" s="11">
        <v>62</v>
      </c>
      <c r="E98" s="12" t="s">
        <v>34</v>
      </c>
      <c r="F98" s="12" t="s">
        <v>35</v>
      </c>
      <c r="G98" s="12" t="s">
        <v>36</v>
      </c>
      <c r="H98" s="12" t="s">
        <v>37</v>
      </c>
      <c r="I98" s="11" t="s">
        <v>288</v>
      </c>
      <c r="J98" s="12" t="s">
        <v>289</v>
      </c>
      <c r="K98" s="13" t="s">
        <v>49</v>
      </c>
      <c r="L98" s="11" t="str">
        <f>"000128"</f>
        <v>000128</v>
      </c>
      <c r="M98" s="10">
        <v>43000</v>
      </c>
      <c r="N98" s="11" t="str">
        <f>"000119"</f>
        <v>000119</v>
      </c>
      <c r="O98" s="10">
        <v>42916</v>
      </c>
      <c r="P98" s="11" t="str">
        <f>"000142"</f>
        <v>000142</v>
      </c>
      <c r="Q98" s="10">
        <v>42886</v>
      </c>
      <c r="R98" s="11">
        <v>17</v>
      </c>
      <c r="S98" s="11" t="str">
        <f>"007740"</f>
        <v>007740</v>
      </c>
      <c r="T98" s="10">
        <v>43441</v>
      </c>
      <c r="U98" s="14">
        <v>4.4342699999999997</v>
      </c>
      <c r="V98" s="14">
        <v>0.56316999999999995</v>
      </c>
      <c r="W98" s="14">
        <v>3.8711000000000002</v>
      </c>
      <c r="X98" s="11">
        <v>301</v>
      </c>
      <c r="Y98" s="10">
        <v>43455</v>
      </c>
      <c r="Z98" s="11">
        <v>8050030921</v>
      </c>
      <c r="AA98" s="12" t="s">
        <v>290</v>
      </c>
      <c r="AB98" s="11" t="s">
        <v>51</v>
      </c>
      <c r="AC98" s="12" t="s">
        <v>52</v>
      </c>
      <c r="AD98" s="11" t="s">
        <v>44</v>
      </c>
      <c r="AE98" s="12" t="s">
        <v>45</v>
      </c>
      <c r="AF98" s="14">
        <f t="shared" si="0"/>
        <v>4.4342699999999999E-2</v>
      </c>
      <c r="AG98" s="11" t="s">
        <v>46</v>
      </c>
    </row>
    <row r="99" spans="1:33" x14ac:dyDescent="0.2">
      <c r="A99" s="8">
        <v>7995</v>
      </c>
      <c r="B99" s="9" t="s">
        <v>277</v>
      </c>
      <c r="C99" s="10">
        <v>43455</v>
      </c>
      <c r="D99" s="11">
        <v>62</v>
      </c>
      <c r="E99" s="12" t="s">
        <v>34</v>
      </c>
      <c r="F99" s="12" t="s">
        <v>35</v>
      </c>
      <c r="G99" s="12" t="s">
        <v>36</v>
      </c>
      <c r="H99" s="12" t="s">
        <v>37</v>
      </c>
      <c r="I99" s="11" t="s">
        <v>291</v>
      </c>
      <c r="J99" s="12" t="s">
        <v>292</v>
      </c>
      <c r="K99" s="13" t="s">
        <v>49</v>
      </c>
      <c r="L99" s="11" t="str">
        <f>"000127"</f>
        <v>000127</v>
      </c>
      <c r="M99" s="10">
        <v>43000</v>
      </c>
      <c r="N99" s="11" t="str">
        <f>"000120"</f>
        <v>000120</v>
      </c>
      <c r="O99" s="10">
        <v>42884</v>
      </c>
      <c r="P99" s="11" t="str">
        <f>"000143"</f>
        <v>000143</v>
      </c>
      <c r="Q99" s="10">
        <v>42886</v>
      </c>
      <c r="R99" s="11">
        <v>17</v>
      </c>
      <c r="S99" s="11" t="str">
        <f>"007742"</f>
        <v>007742</v>
      </c>
      <c r="T99" s="10">
        <v>43441</v>
      </c>
      <c r="U99" s="14">
        <v>2.8700800000000002</v>
      </c>
      <c r="V99" s="14">
        <v>0.37540000000000001</v>
      </c>
      <c r="W99" s="14">
        <v>2.4946799999999998</v>
      </c>
      <c r="X99" s="11">
        <v>301</v>
      </c>
      <c r="Y99" s="10">
        <v>43455</v>
      </c>
      <c r="Z99" s="11">
        <v>8050030921</v>
      </c>
      <c r="AA99" s="12" t="s">
        <v>290</v>
      </c>
      <c r="AB99" s="11" t="s">
        <v>51</v>
      </c>
      <c r="AC99" s="12" t="s">
        <v>52</v>
      </c>
      <c r="AD99" s="11" t="s">
        <v>44</v>
      </c>
      <c r="AE99" s="12" t="s">
        <v>45</v>
      </c>
      <c r="AF99" s="14">
        <f t="shared" si="0"/>
        <v>2.8700800000000002E-2</v>
      </c>
      <c r="AG99" s="11" t="s">
        <v>46</v>
      </c>
    </row>
    <row r="100" spans="1:33" x14ac:dyDescent="0.2">
      <c r="A100" s="8">
        <v>7996</v>
      </c>
      <c r="B100" s="9" t="s">
        <v>277</v>
      </c>
      <c r="C100" s="10">
        <v>43455</v>
      </c>
      <c r="D100" s="11">
        <v>62</v>
      </c>
      <c r="E100" s="12" t="s">
        <v>34</v>
      </c>
      <c r="F100" s="12" t="s">
        <v>35</v>
      </c>
      <c r="G100" s="12" t="s">
        <v>36</v>
      </c>
      <c r="H100" s="12" t="s">
        <v>37</v>
      </c>
      <c r="I100" s="11" t="s">
        <v>293</v>
      </c>
      <c r="J100" s="12" t="s">
        <v>294</v>
      </c>
      <c r="K100" s="13" t="s">
        <v>49</v>
      </c>
      <c r="L100" s="11" t="str">
        <f>"000126"</f>
        <v>000126</v>
      </c>
      <c r="M100" s="10">
        <v>43000</v>
      </c>
      <c r="N100" s="11" t="str">
        <f>"000121"</f>
        <v>000121</v>
      </c>
      <c r="O100" s="10">
        <v>42916</v>
      </c>
      <c r="P100" s="11" t="str">
        <f>"000144"</f>
        <v>000144</v>
      </c>
      <c r="Q100" s="10">
        <v>42886</v>
      </c>
      <c r="R100" s="11">
        <v>17</v>
      </c>
      <c r="S100" s="11" t="str">
        <f>"007743"</f>
        <v>007743</v>
      </c>
      <c r="T100" s="10">
        <v>43441</v>
      </c>
      <c r="U100" s="14">
        <v>4.8170099999999998</v>
      </c>
      <c r="V100" s="14">
        <v>0.60906000000000005</v>
      </c>
      <c r="W100" s="14">
        <v>4.2079500000000003</v>
      </c>
      <c r="X100" s="11">
        <v>301</v>
      </c>
      <c r="Y100" s="10">
        <v>43455</v>
      </c>
      <c r="Z100" s="11">
        <v>8050030921</v>
      </c>
      <c r="AA100" s="12" t="s">
        <v>290</v>
      </c>
      <c r="AB100" s="11" t="s">
        <v>51</v>
      </c>
      <c r="AC100" s="12" t="s">
        <v>52</v>
      </c>
      <c r="AD100" s="11" t="s">
        <v>44</v>
      </c>
      <c r="AE100" s="12" t="s">
        <v>45</v>
      </c>
      <c r="AF100" s="14">
        <f t="shared" si="0"/>
        <v>4.81701E-2</v>
      </c>
      <c r="AG100" s="11" t="s">
        <v>46</v>
      </c>
    </row>
    <row r="101" spans="1:33" x14ac:dyDescent="0.2">
      <c r="A101" s="8">
        <v>7997</v>
      </c>
      <c r="B101" s="9" t="s">
        <v>277</v>
      </c>
      <c r="C101" s="10">
        <v>43455</v>
      </c>
      <c r="D101" s="11">
        <v>62</v>
      </c>
      <c r="E101" s="12" t="s">
        <v>34</v>
      </c>
      <c r="F101" s="12" t="s">
        <v>35</v>
      </c>
      <c r="G101" s="12" t="s">
        <v>36</v>
      </c>
      <c r="H101" s="12" t="s">
        <v>37</v>
      </c>
      <c r="I101" s="11" t="s">
        <v>295</v>
      </c>
      <c r="J101" s="12" t="s">
        <v>296</v>
      </c>
      <c r="K101" s="13" t="s">
        <v>49</v>
      </c>
      <c r="L101" s="11" t="str">
        <f>"000125"</f>
        <v>000125</v>
      </c>
      <c r="M101" s="10">
        <v>43000</v>
      </c>
      <c r="N101" s="11" t="str">
        <f>"000123"</f>
        <v>000123</v>
      </c>
      <c r="O101" s="10">
        <v>42886</v>
      </c>
      <c r="P101" s="11" t="str">
        <f>"000146"</f>
        <v>000146</v>
      </c>
      <c r="Q101" s="10">
        <v>42886</v>
      </c>
      <c r="R101" s="11">
        <v>17</v>
      </c>
      <c r="S101" s="11" t="str">
        <f>"007744"</f>
        <v>007744</v>
      </c>
      <c r="T101" s="10">
        <v>43441</v>
      </c>
      <c r="U101" s="14">
        <v>2.8878400000000002</v>
      </c>
      <c r="V101" s="14">
        <v>0.37874999999999998</v>
      </c>
      <c r="W101" s="14">
        <v>2.50909</v>
      </c>
      <c r="X101" s="11">
        <v>301</v>
      </c>
      <c r="Y101" s="10">
        <v>43455</v>
      </c>
      <c r="Z101" s="11">
        <v>8050030921</v>
      </c>
      <c r="AA101" s="12" t="s">
        <v>290</v>
      </c>
      <c r="AB101" s="11" t="s">
        <v>51</v>
      </c>
      <c r="AC101" s="12" t="s">
        <v>52</v>
      </c>
      <c r="AD101" s="11" t="s">
        <v>44</v>
      </c>
      <c r="AE101" s="12" t="s">
        <v>45</v>
      </c>
      <c r="AF101" s="14">
        <f t="shared" si="0"/>
        <v>2.8878400000000002E-2</v>
      </c>
      <c r="AG101" s="11" t="s">
        <v>46</v>
      </c>
    </row>
    <row r="102" spans="1:33" x14ac:dyDescent="0.2">
      <c r="A102" s="8">
        <v>7998</v>
      </c>
      <c r="B102" s="9" t="s">
        <v>277</v>
      </c>
      <c r="C102" s="10">
        <v>43455</v>
      </c>
      <c r="D102" s="11">
        <v>62</v>
      </c>
      <c r="E102" s="12" t="s">
        <v>34</v>
      </c>
      <c r="F102" s="12" t="s">
        <v>35</v>
      </c>
      <c r="G102" s="12" t="s">
        <v>36</v>
      </c>
      <c r="H102" s="12" t="s">
        <v>37</v>
      </c>
      <c r="I102" s="11" t="s">
        <v>297</v>
      </c>
      <c r="J102" s="12" t="s">
        <v>298</v>
      </c>
      <c r="K102" s="13" t="s">
        <v>49</v>
      </c>
      <c r="L102" s="11" t="str">
        <f>"000124"</f>
        <v>000124</v>
      </c>
      <c r="M102" s="10">
        <v>43000</v>
      </c>
      <c r="N102" s="11" t="str">
        <f>"000124"</f>
        <v>000124</v>
      </c>
      <c r="O102" s="10">
        <v>42886</v>
      </c>
      <c r="P102" s="11" t="str">
        <f>"000147"</f>
        <v>000147</v>
      </c>
      <c r="Q102" s="10">
        <v>42886</v>
      </c>
      <c r="R102" s="11">
        <v>17</v>
      </c>
      <c r="S102" s="11" t="str">
        <f>"007745"</f>
        <v>007745</v>
      </c>
      <c r="T102" s="10">
        <v>43441</v>
      </c>
      <c r="U102" s="14">
        <v>2.9447399999999999</v>
      </c>
      <c r="V102" s="14">
        <v>0.38540000000000002</v>
      </c>
      <c r="W102" s="14">
        <v>2.5593400000000002</v>
      </c>
      <c r="X102" s="11">
        <v>301</v>
      </c>
      <c r="Y102" s="10">
        <v>43455</v>
      </c>
      <c r="Z102" s="11">
        <v>8050030921</v>
      </c>
      <c r="AA102" s="12" t="s">
        <v>299</v>
      </c>
      <c r="AB102" s="11" t="s">
        <v>51</v>
      </c>
      <c r="AC102" s="12" t="s">
        <v>52</v>
      </c>
      <c r="AD102" s="11" t="s">
        <v>44</v>
      </c>
      <c r="AE102" s="12" t="s">
        <v>45</v>
      </c>
      <c r="AF102" s="14">
        <f t="shared" si="0"/>
        <v>2.9447399999999999E-2</v>
      </c>
      <c r="AG102" s="11" t="s">
        <v>46</v>
      </c>
    </row>
    <row r="103" spans="1:33" x14ac:dyDescent="0.2">
      <c r="A103" s="8">
        <v>7999</v>
      </c>
      <c r="B103" s="9" t="s">
        <v>277</v>
      </c>
      <c r="C103" s="10">
        <v>43455</v>
      </c>
      <c r="D103" s="11">
        <v>62</v>
      </c>
      <c r="E103" s="12" t="s">
        <v>34</v>
      </c>
      <c r="F103" s="12" t="s">
        <v>35</v>
      </c>
      <c r="G103" s="12" t="s">
        <v>36</v>
      </c>
      <c r="H103" s="12" t="s">
        <v>37</v>
      </c>
      <c r="I103" s="11" t="s">
        <v>300</v>
      </c>
      <c r="J103" s="12" t="s">
        <v>301</v>
      </c>
      <c r="K103" s="13" t="s">
        <v>49</v>
      </c>
      <c r="L103" s="11" t="str">
        <f>"000078"</f>
        <v>000078</v>
      </c>
      <c r="M103" s="10">
        <v>42803</v>
      </c>
      <c r="N103" s="11" t="str">
        <f>"000126"</f>
        <v>000126</v>
      </c>
      <c r="O103" s="10">
        <v>42855</v>
      </c>
      <c r="P103" s="11" t="str">
        <f>"000148"</f>
        <v>000148</v>
      </c>
      <c r="Q103" s="10">
        <v>42886</v>
      </c>
      <c r="R103" s="11">
        <v>17</v>
      </c>
      <c r="S103" s="11" t="str">
        <f>"007746"</f>
        <v>007746</v>
      </c>
      <c r="T103" s="10">
        <v>43441</v>
      </c>
      <c r="U103" s="14">
        <v>2.9449299999999998</v>
      </c>
      <c r="V103" s="14">
        <v>0.36480000000000001</v>
      </c>
      <c r="W103" s="14">
        <v>2.58013</v>
      </c>
      <c r="X103" s="11">
        <v>301</v>
      </c>
      <c r="Y103" s="10">
        <v>43455</v>
      </c>
      <c r="Z103" s="11">
        <v>9448049099</v>
      </c>
      <c r="AA103" s="12" t="s">
        <v>302</v>
      </c>
      <c r="AB103" s="11" t="s">
        <v>51</v>
      </c>
      <c r="AC103" s="12" t="s">
        <v>52</v>
      </c>
      <c r="AD103" s="11" t="s">
        <v>44</v>
      </c>
      <c r="AE103" s="12" t="s">
        <v>45</v>
      </c>
      <c r="AF103" s="14">
        <f t="shared" si="0"/>
        <v>2.9449299999999998E-2</v>
      </c>
      <c r="AG103" s="11" t="s">
        <v>46</v>
      </c>
    </row>
    <row r="104" spans="1:33" x14ac:dyDescent="0.2">
      <c r="A104" s="8">
        <v>8000</v>
      </c>
      <c r="B104" s="9" t="s">
        <v>277</v>
      </c>
      <c r="C104" s="10">
        <v>43455</v>
      </c>
      <c r="D104" s="11">
        <v>62</v>
      </c>
      <c r="E104" s="12" t="s">
        <v>34</v>
      </c>
      <c r="F104" s="12" t="s">
        <v>35</v>
      </c>
      <c r="G104" s="12" t="s">
        <v>36</v>
      </c>
      <c r="H104" s="12" t="s">
        <v>37</v>
      </c>
      <c r="I104" s="11" t="s">
        <v>303</v>
      </c>
      <c r="J104" s="12" t="s">
        <v>304</v>
      </c>
      <c r="K104" s="13" t="s">
        <v>49</v>
      </c>
      <c r="L104" s="11" t="str">
        <f>"000094"</f>
        <v>000094</v>
      </c>
      <c r="M104" s="10">
        <v>42803</v>
      </c>
      <c r="N104" s="11" t="str">
        <f>"000125"</f>
        <v>000125</v>
      </c>
      <c r="O104" s="10">
        <v>42883</v>
      </c>
      <c r="P104" s="11" t="str">
        <f>"000149"</f>
        <v>000149</v>
      </c>
      <c r="Q104" s="10">
        <v>42886</v>
      </c>
      <c r="R104" s="11">
        <v>17</v>
      </c>
      <c r="S104" s="11" t="str">
        <f>"007747"</f>
        <v>007747</v>
      </c>
      <c r="T104" s="10">
        <v>43441</v>
      </c>
      <c r="U104" s="14">
        <v>2.9358399999999998</v>
      </c>
      <c r="V104" s="14">
        <v>0.36304999999999998</v>
      </c>
      <c r="W104" s="14">
        <v>2.5727899999999999</v>
      </c>
      <c r="X104" s="11">
        <v>301</v>
      </c>
      <c r="Y104" s="10">
        <v>43455</v>
      </c>
      <c r="Z104" s="11">
        <v>9448049099</v>
      </c>
      <c r="AA104" s="12" t="s">
        <v>183</v>
      </c>
      <c r="AB104" s="11" t="s">
        <v>51</v>
      </c>
      <c r="AC104" s="12" t="s">
        <v>52</v>
      </c>
      <c r="AD104" s="11" t="s">
        <v>44</v>
      </c>
      <c r="AE104" s="12" t="s">
        <v>45</v>
      </c>
      <c r="AF104" s="14">
        <f t="shared" si="0"/>
        <v>2.9358399999999996E-2</v>
      </c>
      <c r="AG104" s="11" t="s">
        <v>46</v>
      </c>
    </row>
    <row r="105" spans="1:33" x14ac:dyDescent="0.2">
      <c r="A105" s="8">
        <v>8001</v>
      </c>
      <c r="B105" s="9" t="s">
        <v>277</v>
      </c>
      <c r="C105" s="10">
        <v>43455</v>
      </c>
      <c r="D105" s="11">
        <v>62</v>
      </c>
      <c r="E105" s="12" t="s">
        <v>34</v>
      </c>
      <c r="F105" s="12" t="s">
        <v>35</v>
      </c>
      <c r="G105" s="12" t="s">
        <v>36</v>
      </c>
      <c r="H105" s="12" t="s">
        <v>37</v>
      </c>
      <c r="I105" s="11" t="s">
        <v>305</v>
      </c>
      <c r="J105" s="12" t="s">
        <v>306</v>
      </c>
      <c r="K105" s="13" t="s">
        <v>49</v>
      </c>
      <c r="L105" s="11" t="str">
        <f>"000077"</f>
        <v>000077</v>
      </c>
      <c r="M105" s="10">
        <v>42803</v>
      </c>
      <c r="N105" s="11" t="str">
        <f>"000127"</f>
        <v>000127</v>
      </c>
      <c r="O105" s="10">
        <v>42886</v>
      </c>
      <c r="P105" s="11" t="str">
        <f>"000150"</f>
        <v>000150</v>
      </c>
      <c r="Q105" s="10">
        <v>42886</v>
      </c>
      <c r="R105" s="11">
        <v>17</v>
      </c>
      <c r="S105" s="11" t="str">
        <f>"007748"</f>
        <v>007748</v>
      </c>
      <c r="T105" s="10">
        <v>43441</v>
      </c>
      <c r="U105" s="14">
        <v>2.9495300000000002</v>
      </c>
      <c r="V105" s="14">
        <v>0.3725</v>
      </c>
      <c r="W105" s="14">
        <v>2.5770300000000002</v>
      </c>
      <c r="X105" s="11">
        <v>301</v>
      </c>
      <c r="Y105" s="10">
        <v>43455</v>
      </c>
      <c r="Z105" s="11">
        <v>9448049099</v>
      </c>
      <c r="AA105" s="12" t="s">
        <v>307</v>
      </c>
      <c r="AB105" s="11" t="s">
        <v>51</v>
      </c>
      <c r="AC105" s="12" t="s">
        <v>52</v>
      </c>
      <c r="AD105" s="11" t="s">
        <v>44</v>
      </c>
      <c r="AE105" s="12" t="s">
        <v>45</v>
      </c>
      <c r="AF105" s="14">
        <f t="shared" si="0"/>
        <v>2.9495300000000002E-2</v>
      </c>
      <c r="AG105" s="11" t="s">
        <v>46</v>
      </c>
    </row>
    <row r="106" spans="1:33" x14ac:dyDescent="0.2">
      <c r="A106" s="8">
        <v>8002</v>
      </c>
      <c r="B106" s="9" t="s">
        <v>277</v>
      </c>
      <c r="C106" s="10">
        <v>43455</v>
      </c>
      <c r="D106" s="11">
        <v>62</v>
      </c>
      <c r="E106" s="12" t="s">
        <v>34</v>
      </c>
      <c r="F106" s="12" t="s">
        <v>35</v>
      </c>
      <c r="G106" s="12" t="s">
        <v>36</v>
      </c>
      <c r="H106" s="12" t="s">
        <v>37</v>
      </c>
      <c r="I106" s="11" t="s">
        <v>308</v>
      </c>
      <c r="J106" s="12" t="s">
        <v>309</v>
      </c>
      <c r="K106" s="15" t="s">
        <v>125</v>
      </c>
      <c r="L106" s="11" t="str">
        <f>"000009"</f>
        <v>000009</v>
      </c>
      <c r="M106" s="10">
        <v>42950</v>
      </c>
      <c r="N106" s="11" t="str">
        <f>"000011"</f>
        <v>000011</v>
      </c>
      <c r="O106" s="10">
        <v>42854</v>
      </c>
      <c r="P106" s="11" t="str">
        <f>"100011"</f>
        <v>100011</v>
      </c>
      <c r="Q106" s="10">
        <v>42854</v>
      </c>
      <c r="R106" s="11">
        <v>17</v>
      </c>
      <c r="S106" s="11" t="str">
        <f>"007813"</f>
        <v>007813</v>
      </c>
      <c r="T106" s="10">
        <v>43444</v>
      </c>
      <c r="U106" s="14">
        <v>20.64162</v>
      </c>
      <c r="V106" s="14">
        <v>1.4660500000000001</v>
      </c>
      <c r="W106" s="14">
        <v>19.17557</v>
      </c>
      <c r="X106" s="11">
        <v>301</v>
      </c>
      <c r="Y106" s="10">
        <v>43455</v>
      </c>
      <c r="Z106" s="11">
        <v>9856563269</v>
      </c>
      <c r="AA106" s="12" t="s">
        <v>104</v>
      </c>
      <c r="AB106" s="11" t="s">
        <v>310</v>
      </c>
      <c r="AC106" s="12" t="s">
        <v>311</v>
      </c>
      <c r="AD106" s="11" t="s">
        <v>44</v>
      </c>
      <c r="AE106" s="12" t="s">
        <v>45</v>
      </c>
      <c r="AF106" s="14">
        <f t="shared" si="0"/>
        <v>0.20641619999999999</v>
      </c>
      <c r="AG106" s="11" t="s">
        <v>46</v>
      </c>
    </row>
    <row r="107" spans="1:33" x14ac:dyDescent="0.2">
      <c r="A107" s="8">
        <v>8801</v>
      </c>
      <c r="B107" s="9" t="s">
        <v>312</v>
      </c>
      <c r="C107" s="10">
        <v>43490</v>
      </c>
      <c r="D107" s="11">
        <v>62</v>
      </c>
      <c r="E107" s="12" t="s">
        <v>34</v>
      </c>
      <c r="F107" s="12" t="s">
        <v>35</v>
      </c>
      <c r="G107" s="12" t="s">
        <v>36</v>
      </c>
      <c r="H107" s="12" t="s">
        <v>37</v>
      </c>
      <c r="I107" s="11" t="s">
        <v>313</v>
      </c>
      <c r="J107" s="12" t="s">
        <v>314</v>
      </c>
      <c r="K107" s="13" t="s">
        <v>125</v>
      </c>
      <c r="L107" s="11" t="str">
        <f>"000133"</f>
        <v>000133</v>
      </c>
      <c r="M107" s="10">
        <v>43396</v>
      </c>
      <c r="N107" s="11" t="str">
        <f>"000097"</f>
        <v>000097</v>
      </c>
      <c r="O107" s="10">
        <v>43404</v>
      </c>
      <c r="P107" s="11" t="str">
        <f>"000149"</f>
        <v>000149</v>
      </c>
      <c r="Q107" s="10">
        <v>43404</v>
      </c>
      <c r="R107" s="11"/>
      <c r="S107" s="11" t="str">
        <f>"008950"</f>
        <v>008950</v>
      </c>
      <c r="T107" s="10">
        <v>43489</v>
      </c>
      <c r="U107" s="14">
        <v>4.9263399999999997</v>
      </c>
      <c r="V107" s="14">
        <v>0.52600000000000002</v>
      </c>
      <c r="W107" s="14">
        <v>4.4003399999999999</v>
      </c>
      <c r="X107" s="11">
        <v>333</v>
      </c>
      <c r="Y107" s="10">
        <v>43490</v>
      </c>
      <c r="Z107" s="11">
        <v>9856234595</v>
      </c>
      <c r="AA107" s="12" t="s">
        <v>41</v>
      </c>
      <c r="AB107" s="11" t="s">
        <v>315</v>
      </c>
      <c r="AC107" s="12" t="s">
        <v>316</v>
      </c>
      <c r="AD107" s="11" t="s">
        <v>44</v>
      </c>
      <c r="AE107" s="12" t="s">
        <v>45</v>
      </c>
      <c r="AF107" s="14">
        <f t="shared" si="0"/>
        <v>4.9263399999999999E-2</v>
      </c>
      <c r="AG107" s="11" t="s">
        <v>118</v>
      </c>
    </row>
    <row r="108" spans="1:33" x14ac:dyDescent="0.2">
      <c r="A108" s="8">
        <v>8955</v>
      </c>
      <c r="B108" s="9" t="s">
        <v>317</v>
      </c>
      <c r="C108" s="10">
        <v>43501</v>
      </c>
      <c r="D108" s="11">
        <v>62</v>
      </c>
      <c r="E108" s="12" t="s">
        <v>34</v>
      </c>
      <c r="F108" s="12" t="s">
        <v>35</v>
      </c>
      <c r="G108" s="12" t="s">
        <v>36</v>
      </c>
      <c r="H108" s="12" t="s">
        <v>37</v>
      </c>
      <c r="I108" s="11" t="s">
        <v>318</v>
      </c>
      <c r="J108" s="12" t="s">
        <v>319</v>
      </c>
      <c r="K108" s="13" t="s">
        <v>49</v>
      </c>
      <c r="L108" s="11" t="str">
        <f>"000131"</f>
        <v>000131</v>
      </c>
      <c r="M108" s="10">
        <v>43396</v>
      </c>
      <c r="N108" s="11" t="str">
        <f>"000095"</f>
        <v>000095</v>
      </c>
      <c r="O108" s="10">
        <v>43404</v>
      </c>
      <c r="P108" s="11" t="str">
        <f>"000152"</f>
        <v>000152</v>
      </c>
      <c r="Q108" s="10">
        <v>43404</v>
      </c>
      <c r="R108" s="11"/>
      <c r="S108" s="11" t="str">
        <f>"009039"</f>
        <v>009039</v>
      </c>
      <c r="T108" s="10">
        <v>43501</v>
      </c>
      <c r="U108" s="14">
        <v>9.9442199999999996</v>
      </c>
      <c r="V108" s="14">
        <v>1.07</v>
      </c>
      <c r="W108" s="14">
        <v>8.8742199999999993</v>
      </c>
      <c r="X108" s="11">
        <v>339</v>
      </c>
      <c r="Y108" s="10">
        <v>43501</v>
      </c>
      <c r="Z108" s="11">
        <v>9856457856</v>
      </c>
      <c r="AA108" s="12" t="s">
        <v>41</v>
      </c>
      <c r="AB108" s="11" t="s">
        <v>320</v>
      </c>
      <c r="AC108" s="12" t="s">
        <v>321</v>
      </c>
      <c r="AD108" s="11" t="s">
        <v>44</v>
      </c>
      <c r="AE108" s="12" t="s">
        <v>45</v>
      </c>
      <c r="AF108" s="14">
        <f t="shared" si="0"/>
        <v>9.9442199999999994E-2</v>
      </c>
      <c r="AG108" s="11" t="s">
        <v>118</v>
      </c>
    </row>
    <row r="109" spans="1:33" x14ac:dyDescent="0.2">
      <c r="A109" s="8">
        <v>8956</v>
      </c>
      <c r="B109" s="9" t="s">
        <v>317</v>
      </c>
      <c r="C109" s="10">
        <v>43501</v>
      </c>
      <c r="D109" s="11">
        <v>62</v>
      </c>
      <c r="E109" s="12" t="s">
        <v>34</v>
      </c>
      <c r="F109" s="12" t="s">
        <v>35</v>
      </c>
      <c r="G109" s="12" t="s">
        <v>36</v>
      </c>
      <c r="H109" s="12" t="s">
        <v>37</v>
      </c>
      <c r="I109" s="11" t="s">
        <v>322</v>
      </c>
      <c r="J109" s="12" t="s">
        <v>323</v>
      </c>
      <c r="K109" s="13" t="s">
        <v>49</v>
      </c>
      <c r="L109" s="11" t="str">
        <f>"000130"</f>
        <v>000130</v>
      </c>
      <c r="M109" s="10">
        <v>43396</v>
      </c>
      <c r="N109" s="11" t="str">
        <f>"000096"</f>
        <v>000096</v>
      </c>
      <c r="O109" s="10">
        <v>43404</v>
      </c>
      <c r="P109" s="11" t="str">
        <f>"000150"</f>
        <v>000150</v>
      </c>
      <c r="Q109" s="10">
        <v>43404</v>
      </c>
      <c r="R109" s="11"/>
      <c r="S109" s="11" t="str">
        <f>"009040"</f>
        <v>009040</v>
      </c>
      <c r="T109" s="10">
        <v>43501</v>
      </c>
      <c r="U109" s="14">
        <v>14.95514</v>
      </c>
      <c r="V109" s="14">
        <v>1.696</v>
      </c>
      <c r="W109" s="14">
        <v>13.25914</v>
      </c>
      <c r="X109" s="11">
        <v>339</v>
      </c>
      <c r="Y109" s="10">
        <v>43501</v>
      </c>
      <c r="Z109" s="11">
        <v>9856565689</v>
      </c>
      <c r="AA109" s="12" t="s">
        <v>41</v>
      </c>
      <c r="AB109" s="11" t="s">
        <v>324</v>
      </c>
      <c r="AC109" s="12" t="s">
        <v>325</v>
      </c>
      <c r="AD109" s="11" t="s">
        <v>44</v>
      </c>
      <c r="AE109" s="12" t="s">
        <v>45</v>
      </c>
      <c r="AF109" s="14">
        <f t="shared" si="0"/>
        <v>0.1495514</v>
      </c>
      <c r="AG109" s="11" t="s">
        <v>118</v>
      </c>
    </row>
    <row r="110" spans="1:33" x14ac:dyDescent="0.2">
      <c r="A110" s="8">
        <v>8960</v>
      </c>
      <c r="B110" s="9" t="s">
        <v>317</v>
      </c>
      <c r="C110" s="10">
        <v>43501</v>
      </c>
      <c r="D110" s="11">
        <v>62</v>
      </c>
      <c r="E110" s="12" t="s">
        <v>34</v>
      </c>
      <c r="F110" s="12" t="s">
        <v>35</v>
      </c>
      <c r="G110" s="12" t="s">
        <v>36</v>
      </c>
      <c r="H110" s="12" t="s">
        <v>37</v>
      </c>
      <c r="I110" s="11" t="s">
        <v>326</v>
      </c>
      <c r="J110" s="12" t="s">
        <v>327</v>
      </c>
      <c r="K110" s="13" t="s">
        <v>328</v>
      </c>
      <c r="L110" s="11" t="str">
        <f>"000168"</f>
        <v>000168</v>
      </c>
      <c r="M110" s="10">
        <v>43438</v>
      </c>
      <c r="N110" s="11" t="str">
        <f>"000130"</f>
        <v>000130</v>
      </c>
      <c r="O110" s="10">
        <v>43448</v>
      </c>
      <c r="P110" s="11" t="str">
        <f>"000176"</f>
        <v>000176</v>
      </c>
      <c r="Q110" s="10">
        <v>43448</v>
      </c>
      <c r="R110" s="11"/>
      <c r="S110" s="11" t="str">
        <f>"009044"</f>
        <v>009044</v>
      </c>
      <c r="T110" s="10">
        <v>43501</v>
      </c>
      <c r="U110" s="14">
        <v>4.94414</v>
      </c>
      <c r="V110" s="14">
        <v>0.50600000000000001</v>
      </c>
      <c r="W110" s="14">
        <v>4.4381399999999998</v>
      </c>
      <c r="X110" s="11">
        <v>339</v>
      </c>
      <c r="Y110" s="10">
        <v>43501</v>
      </c>
      <c r="Z110" s="11">
        <v>9856235698</v>
      </c>
      <c r="AA110" s="12" t="s">
        <v>41</v>
      </c>
      <c r="AB110" s="11" t="s">
        <v>329</v>
      </c>
      <c r="AC110" s="12" t="s">
        <v>330</v>
      </c>
      <c r="AD110" s="11" t="s">
        <v>44</v>
      </c>
      <c r="AE110" s="12" t="s">
        <v>45</v>
      </c>
      <c r="AF110" s="14">
        <f t="shared" si="0"/>
        <v>4.9441399999999996E-2</v>
      </c>
      <c r="AG110" s="11" t="s">
        <v>118</v>
      </c>
    </row>
    <row r="111" spans="1:33" x14ac:dyDescent="0.2">
      <c r="A111" s="8">
        <v>9136</v>
      </c>
      <c r="B111" s="9" t="s">
        <v>317</v>
      </c>
      <c r="C111" s="10">
        <v>43508</v>
      </c>
      <c r="D111" s="11">
        <v>62</v>
      </c>
      <c r="E111" s="12" t="s">
        <v>34</v>
      </c>
      <c r="F111" s="12" t="s">
        <v>35</v>
      </c>
      <c r="G111" s="12" t="s">
        <v>36</v>
      </c>
      <c r="H111" s="12" t="s">
        <v>37</v>
      </c>
      <c r="I111" s="11" t="s">
        <v>331</v>
      </c>
      <c r="J111" s="12" t="s">
        <v>332</v>
      </c>
      <c r="K111" s="13" t="s">
        <v>49</v>
      </c>
      <c r="L111" s="11" t="str">
        <f>"000068"</f>
        <v>000068</v>
      </c>
      <c r="M111" s="10">
        <v>42992</v>
      </c>
      <c r="N111" s="11" t="str">
        <f>"000147"</f>
        <v>000147</v>
      </c>
      <c r="O111" s="10">
        <v>42916</v>
      </c>
      <c r="P111" s="11" t="str">
        <f>"000178"</f>
        <v>000178</v>
      </c>
      <c r="Q111" s="10">
        <v>42915</v>
      </c>
      <c r="R111" s="11"/>
      <c r="S111" s="11" t="str">
        <f>"009182"</f>
        <v>009182</v>
      </c>
      <c r="T111" s="10">
        <v>43503</v>
      </c>
      <c r="U111" s="14">
        <v>20.577349999999999</v>
      </c>
      <c r="V111" s="14">
        <v>1.4614</v>
      </c>
      <c r="W111" s="14">
        <v>19.115950000000002</v>
      </c>
      <c r="X111" s="11">
        <v>349</v>
      </c>
      <c r="Y111" s="10">
        <v>43508</v>
      </c>
      <c r="Z111" s="11">
        <v>9686538999</v>
      </c>
      <c r="AA111" s="12" t="s">
        <v>104</v>
      </c>
      <c r="AB111" s="11" t="s">
        <v>310</v>
      </c>
      <c r="AC111" s="12" t="s">
        <v>311</v>
      </c>
      <c r="AD111" s="11" t="s">
        <v>44</v>
      </c>
      <c r="AE111" s="12" t="s">
        <v>45</v>
      </c>
      <c r="AF111" s="14">
        <f t="shared" si="0"/>
        <v>0.2057735</v>
      </c>
      <c r="AG111" s="11" t="s">
        <v>46</v>
      </c>
    </row>
    <row r="112" spans="1:33" x14ac:dyDescent="0.2">
      <c r="A112" s="8">
        <v>9137</v>
      </c>
      <c r="B112" s="9" t="s">
        <v>317</v>
      </c>
      <c r="C112" s="10">
        <v>43508</v>
      </c>
      <c r="D112" s="11">
        <v>62</v>
      </c>
      <c r="E112" s="12" t="s">
        <v>34</v>
      </c>
      <c r="F112" s="12" t="s">
        <v>35</v>
      </c>
      <c r="G112" s="12" t="s">
        <v>36</v>
      </c>
      <c r="H112" s="12" t="s">
        <v>37</v>
      </c>
      <c r="I112" s="11" t="s">
        <v>333</v>
      </c>
      <c r="J112" s="12" t="s">
        <v>334</v>
      </c>
      <c r="K112" s="13" t="s">
        <v>40</v>
      </c>
      <c r="L112" s="11" t="str">
        <f>"000064"</f>
        <v>000064</v>
      </c>
      <c r="M112" s="10">
        <v>42992</v>
      </c>
      <c r="N112" s="11" t="str">
        <f>"000149"</f>
        <v>000149</v>
      </c>
      <c r="O112" s="10">
        <v>42916</v>
      </c>
      <c r="P112" s="11" t="str">
        <f>"000180"</f>
        <v>000180</v>
      </c>
      <c r="Q112" s="10">
        <v>42915</v>
      </c>
      <c r="R112" s="11"/>
      <c r="S112" s="11" t="str">
        <f>"009183"</f>
        <v>009183</v>
      </c>
      <c r="T112" s="10">
        <v>43503</v>
      </c>
      <c r="U112" s="14">
        <v>20.578199999999999</v>
      </c>
      <c r="V112" s="14">
        <v>1.46149</v>
      </c>
      <c r="W112" s="14">
        <v>19.116710000000001</v>
      </c>
      <c r="X112" s="11">
        <v>349</v>
      </c>
      <c r="Y112" s="10">
        <v>43508</v>
      </c>
      <c r="Z112" s="11">
        <v>9686538999</v>
      </c>
      <c r="AA112" s="12" t="s">
        <v>104</v>
      </c>
      <c r="AB112" s="11" t="s">
        <v>310</v>
      </c>
      <c r="AC112" s="12" t="s">
        <v>311</v>
      </c>
      <c r="AD112" s="11" t="s">
        <v>44</v>
      </c>
      <c r="AE112" s="12" t="s">
        <v>45</v>
      </c>
      <c r="AF112" s="14">
        <f t="shared" si="0"/>
        <v>0.20578199999999999</v>
      </c>
      <c r="AG112" s="11" t="s">
        <v>46</v>
      </c>
    </row>
    <row r="113" spans="1:33" x14ac:dyDescent="0.2">
      <c r="A113" s="8">
        <v>9138</v>
      </c>
      <c r="B113" s="9" t="s">
        <v>317</v>
      </c>
      <c r="C113" s="10">
        <v>43508</v>
      </c>
      <c r="D113" s="11">
        <v>62</v>
      </c>
      <c r="E113" s="12" t="s">
        <v>34</v>
      </c>
      <c r="F113" s="12" t="s">
        <v>35</v>
      </c>
      <c r="G113" s="12" t="s">
        <v>36</v>
      </c>
      <c r="H113" s="12" t="s">
        <v>37</v>
      </c>
      <c r="I113" s="11" t="s">
        <v>335</v>
      </c>
      <c r="J113" s="12" t="s">
        <v>336</v>
      </c>
      <c r="K113" s="13" t="s">
        <v>40</v>
      </c>
      <c r="L113" s="11" t="str">
        <f>"000067"</f>
        <v>000067</v>
      </c>
      <c r="M113" s="10">
        <v>42992</v>
      </c>
      <c r="N113" s="11" t="str">
        <f>"000150"</f>
        <v>000150</v>
      </c>
      <c r="O113" s="10">
        <v>42916</v>
      </c>
      <c r="P113" s="11" t="str">
        <f>"000181"</f>
        <v>000181</v>
      </c>
      <c r="Q113" s="10">
        <v>42915</v>
      </c>
      <c r="R113" s="11"/>
      <c r="S113" s="11" t="str">
        <f>"009184"</f>
        <v>009184</v>
      </c>
      <c r="T113" s="10">
        <v>43503</v>
      </c>
      <c r="U113" s="14">
        <v>20.553850000000001</v>
      </c>
      <c r="V113" s="14">
        <v>1.4598</v>
      </c>
      <c r="W113" s="14">
        <v>19.094049999999999</v>
      </c>
      <c r="X113" s="11">
        <v>349</v>
      </c>
      <c r="Y113" s="10">
        <v>43508</v>
      </c>
      <c r="Z113" s="11">
        <v>9686538999</v>
      </c>
      <c r="AA113" s="12" t="s">
        <v>104</v>
      </c>
      <c r="AB113" s="11" t="s">
        <v>310</v>
      </c>
      <c r="AC113" s="12" t="s">
        <v>311</v>
      </c>
      <c r="AD113" s="11" t="s">
        <v>44</v>
      </c>
      <c r="AE113" s="12" t="s">
        <v>45</v>
      </c>
      <c r="AF113" s="14">
        <f t="shared" si="0"/>
        <v>0.20553850000000001</v>
      </c>
      <c r="AG113" s="11" t="s">
        <v>46</v>
      </c>
    </row>
    <row r="114" spans="1:33" x14ac:dyDescent="0.2">
      <c r="A114" s="8">
        <v>9139</v>
      </c>
      <c r="B114" s="9" t="s">
        <v>317</v>
      </c>
      <c r="C114" s="10">
        <v>43508</v>
      </c>
      <c r="D114" s="11">
        <v>62</v>
      </c>
      <c r="E114" s="12" t="s">
        <v>34</v>
      </c>
      <c r="F114" s="12" t="s">
        <v>35</v>
      </c>
      <c r="G114" s="12" t="s">
        <v>36</v>
      </c>
      <c r="H114" s="12" t="s">
        <v>37</v>
      </c>
      <c r="I114" s="11" t="s">
        <v>337</v>
      </c>
      <c r="J114" s="12" t="s">
        <v>338</v>
      </c>
      <c r="K114" s="13" t="s">
        <v>40</v>
      </c>
      <c r="L114" s="11" t="str">
        <f>"000135"</f>
        <v>000135</v>
      </c>
      <c r="M114" s="10">
        <v>43004</v>
      </c>
      <c r="N114" s="11" t="str">
        <f>"000152"</f>
        <v>000152</v>
      </c>
      <c r="O114" s="10">
        <v>42881</v>
      </c>
      <c r="P114" s="11" t="str">
        <f>"000182"</f>
        <v>000182</v>
      </c>
      <c r="Q114" s="10">
        <v>42915</v>
      </c>
      <c r="R114" s="11"/>
      <c r="S114" s="11" t="str">
        <f>"009185"</f>
        <v>009185</v>
      </c>
      <c r="T114" s="10">
        <v>43503</v>
      </c>
      <c r="U114" s="14">
        <v>20.62379</v>
      </c>
      <c r="V114" s="14">
        <v>1.4646999999999999</v>
      </c>
      <c r="W114" s="14">
        <v>19.159089999999999</v>
      </c>
      <c r="X114" s="11">
        <v>349</v>
      </c>
      <c r="Y114" s="10">
        <v>43508</v>
      </c>
      <c r="Z114" s="11">
        <v>9686538999</v>
      </c>
      <c r="AA114" s="12" t="s">
        <v>339</v>
      </c>
      <c r="AB114" s="11" t="s">
        <v>310</v>
      </c>
      <c r="AC114" s="12" t="s">
        <v>311</v>
      </c>
      <c r="AD114" s="11" t="s">
        <v>44</v>
      </c>
      <c r="AE114" s="12" t="s">
        <v>45</v>
      </c>
      <c r="AF114" s="14">
        <f t="shared" si="0"/>
        <v>0.2062379</v>
      </c>
      <c r="AG114" s="11" t="s">
        <v>46</v>
      </c>
    </row>
    <row r="115" spans="1:33" x14ac:dyDescent="0.2">
      <c r="A115" s="8">
        <v>9140</v>
      </c>
      <c r="B115" s="9" t="s">
        <v>317</v>
      </c>
      <c r="C115" s="10">
        <v>43508</v>
      </c>
      <c r="D115" s="11">
        <v>62</v>
      </c>
      <c r="E115" s="12" t="s">
        <v>34</v>
      </c>
      <c r="F115" s="12" t="s">
        <v>35</v>
      </c>
      <c r="G115" s="12" t="s">
        <v>36</v>
      </c>
      <c r="H115" s="12" t="s">
        <v>37</v>
      </c>
      <c r="I115" s="11" t="s">
        <v>340</v>
      </c>
      <c r="J115" s="12" t="s">
        <v>341</v>
      </c>
      <c r="K115" s="13" t="s">
        <v>49</v>
      </c>
      <c r="L115" s="11" t="str">
        <f>"000138"</f>
        <v>000138</v>
      </c>
      <c r="M115" s="10">
        <v>43004</v>
      </c>
      <c r="N115" s="11" t="str">
        <f>"...153"</f>
        <v>...153</v>
      </c>
      <c r="O115" s="10">
        <v>42873</v>
      </c>
      <c r="P115" s="11" t="str">
        <f>"000183"</f>
        <v>000183</v>
      </c>
      <c r="Q115" s="10">
        <v>42915</v>
      </c>
      <c r="R115" s="11"/>
      <c r="S115" s="11" t="str">
        <f>"009186"</f>
        <v>009186</v>
      </c>
      <c r="T115" s="10">
        <v>43503</v>
      </c>
      <c r="U115" s="14">
        <v>20.65333</v>
      </c>
      <c r="V115" s="14">
        <v>1.46672</v>
      </c>
      <c r="W115" s="14">
        <v>19.186610000000002</v>
      </c>
      <c r="X115" s="11">
        <v>349</v>
      </c>
      <c r="Y115" s="10">
        <v>43508</v>
      </c>
      <c r="Z115" s="11">
        <v>9686538999</v>
      </c>
      <c r="AA115" s="12" t="s">
        <v>342</v>
      </c>
      <c r="AB115" s="11" t="s">
        <v>310</v>
      </c>
      <c r="AC115" s="12" t="s">
        <v>311</v>
      </c>
      <c r="AD115" s="11" t="s">
        <v>44</v>
      </c>
      <c r="AE115" s="12" t="s">
        <v>45</v>
      </c>
      <c r="AF115" s="14">
        <f t="shared" si="0"/>
        <v>0.2065333</v>
      </c>
      <c r="AG115" s="11" t="s">
        <v>46</v>
      </c>
    </row>
    <row r="116" spans="1:33" x14ac:dyDescent="0.2">
      <c r="A116" s="8">
        <v>9141</v>
      </c>
      <c r="B116" s="9" t="s">
        <v>317</v>
      </c>
      <c r="C116" s="10">
        <v>43508</v>
      </c>
      <c r="D116" s="11">
        <v>62</v>
      </c>
      <c r="E116" s="12" t="s">
        <v>34</v>
      </c>
      <c r="F116" s="12" t="s">
        <v>35</v>
      </c>
      <c r="G116" s="12" t="s">
        <v>36</v>
      </c>
      <c r="H116" s="12" t="s">
        <v>37</v>
      </c>
      <c r="I116" s="11" t="s">
        <v>343</v>
      </c>
      <c r="J116" s="12" t="s">
        <v>344</v>
      </c>
      <c r="K116" s="13" t="s">
        <v>40</v>
      </c>
      <c r="L116" s="11" t="str">
        <f>"000065"</f>
        <v>000065</v>
      </c>
      <c r="M116" s="10">
        <v>42992</v>
      </c>
      <c r="N116" s="11" t="str">
        <f>"000153"</f>
        <v>000153</v>
      </c>
      <c r="O116" s="10">
        <v>42916</v>
      </c>
      <c r="P116" s="11" t="str">
        <f>"000186"</f>
        <v>000186</v>
      </c>
      <c r="Q116" s="10">
        <v>42915</v>
      </c>
      <c r="R116" s="11"/>
      <c r="S116" s="11" t="str">
        <f>"009187"</f>
        <v>009187</v>
      </c>
      <c r="T116" s="10">
        <v>43503</v>
      </c>
      <c r="U116" s="14">
        <v>20.503</v>
      </c>
      <c r="V116" s="14">
        <v>1.4713000000000001</v>
      </c>
      <c r="W116" s="14">
        <v>19.031700000000001</v>
      </c>
      <c r="X116" s="11">
        <v>349</v>
      </c>
      <c r="Y116" s="10">
        <v>43508</v>
      </c>
      <c r="Z116" s="11">
        <v>9686538999</v>
      </c>
      <c r="AA116" s="12" t="s">
        <v>345</v>
      </c>
      <c r="AB116" s="11" t="s">
        <v>310</v>
      </c>
      <c r="AC116" s="12" t="s">
        <v>311</v>
      </c>
      <c r="AD116" s="11" t="s">
        <v>44</v>
      </c>
      <c r="AE116" s="12" t="s">
        <v>45</v>
      </c>
      <c r="AF116" s="14">
        <f t="shared" si="0"/>
        <v>0.20502999999999999</v>
      </c>
      <c r="AG116" s="11" t="s">
        <v>46</v>
      </c>
    </row>
    <row r="117" spans="1:33" x14ac:dyDescent="0.2">
      <c r="A117" s="8">
        <v>9142</v>
      </c>
      <c r="B117" s="9" t="s">
        <v>317</v>
      </c>
      <c r="C117" s="10">
        <v>43508</v>
      </c>
      <c r="D117" s="11">
        <v>62</v>
      </c>
      <c r="E117" s="12" t="s">
        <v>34</v>
      </c>
      <c r="F117" s="12" t="s">
        <v>35</v>
      </c>
      <c r="G117" s="12" t="s">
        <v>36</v>
      </c>
      <c r="H117" s="12" t="s">
        <v>37</v>
      </c>
      <c r="I117" s="11" t="s">
        <v>346</v>
      </c>
      <c r="J117" s="12" t="s">
        <v>347</v>
      </c>
      <c r="K117" s="13" t="s">
        <v>49</v>
      </c>
      <c r="L117" s="11" t="str">
        <f>"000066"</f>
        <v>000066</v>
      </c>
      <c r="M117" s="10">
        <v>42992</v>
      </c>
      <c r="N117" s="11" t="str">
        <f>"000157"</f>
        <v>000157</v>
      </c>
      <c r="O117" s="10">
        <v>42916</v>
      </c>
      <c r="P117" s="11" t="str">
        <f>"000187"</f>
        <v>000187</v>
      </c>
      <c r="Q117" s="10">
        <v>42915</v>
      </c>
      <c r="R117" s="11"/>
      <c r="S117" s="11" t="str">
        <f>"009188"</f>
        <v>009188</v>
      </c>
      <c r="T117" s="10">
        <v>43503</v>
      </c>
      <c r="U117" s="14">
        <v>20.379619999999999</v>
      </c>
      <c r="V117" s="14">
        <v>1.4476</v>
      </c>
      <c r="W117" s="14">
        <v>18.932020000000001</v>
      </c>
      <c r="X117" s="11">
        <v>349</v>
      </c>
      <c r="Y117" s="10">
        <v>43508</v>
      </c>
      <c r="Z117" s="11">
        <v>9686538999</v>
      </c>
      <c r="AA117" s="12" t="s">
        <v>104</v>
      </c>
      <c r="AB117" s="11" t="s">
        <v>310</v>
      </c>
      <c r="AC117" s="12" t="s">
        <v>311</v>
      </c>
      <c r="AD117" s="11" t="s">
        <v>44</v>
      </c>
      <c r="AE117" s="12" t="s">
        <v>45</v>
      </c>
      <c r="AF117" s="14">
        <f t="shared" si="0"/>
        <v>0.20379619999999998</v>
      </c>
      <c r="AG117" s="11" t="s">
        <v>46</v>
      </c>
    </row>
    <row r="118" spans="1:33" x14ac:dyDescent="0.2">
      <c r="A118" s="8">
        <v>9211</v>
      </c>
      <c r="B118" s="9" t="s">
        <v>317</v>
      </c>
      <c r="C118" s="10">
        <v>43511</v>
      </c>
      <c r="D118" s="11">
        <v>62</v>
      </c>
      <c r="E118" s="12" t="s">
        <v>34</v>
      </c>
      <c r="F118" s="12" t="s">
        <v>35</v>
      </c>
      <c r="G118" s="12" t="s">
        <v>36</v>
      </c>
      <c r="H118" s="12" t="s">
        <v>37</v>
      </c>
      <c r="I118" s="11" t="s">
        <v>348</v>
      </c>
      <c r="J118" s="12" t="s">
        <v>349</v>
      </c>
      <c r="K118" s="15" t="s">
        <v>125</v>
      </c>
      <c r="L118" s="11" t="str">
        <f>"000194"</f>
        <v>000194</v>
      </c>
      <c r="M118" s="10">
        <v>43133</v>
      </c>
      <c r="N118" s="11" t="str">
        <f>"000085"</f>
        <v>000085</v>
      </c>
      <c r="O118" s="10">
        <v>43399</v>
      </c>
      <c r="P118" s="11" t="str">
        <f>"000130"</f>
        <v>000130</v>
      </c>
      <c r="Q118" s="10">
        <v>43402</v>
      </c>
      <c r="R118" s="11"/>
      <c r="S118" s="11" t="str">
        <f>"009260"</f>
        <v>009260</v>
      </c>
      <c r="T118" s="10">
        <v>43510</v>
      </c>
      <c r="U118" s="14">
        <v>19.983419999999999</v>
      </c>
      <c r="V118" s="14">
        <v>2.2589999999999999</v>
      </c>
      <c r="W118" s="14">
        <v>17.724419999999999</v>
      </c>
      <c r="X118" s="11">
        <v>353</v>
      </c>
      <c r="Y118" s="10">
        <v>43511</v>
      </c>
      <c r="Z118" s="11">
        <v>9886010878</v>
      </c>
      <c r="AA118" s="12" t="s">
        <v>41</v>
      </c>
      <c r="AB118" s="11" t="s">
        <v>126</v>
      </c>
      <c r="AC118" s="12" t="s">
        <v>127</v>
      </c>
      <c r="AD118" s="11" t="s">
        <v>44</v>
      </c>
      <c r="AE118" s="12" t="s">
        <v>45</v>
      </c>
      <c r="AF118" s="14">
        <f t="shared" si="0"/>
        <v>0.19983419999999999</v>
      </c>
      <c r="AG118" s="11" t="s">
        <v>59</v>
      </c>
    </row>
    <row r="119" spans="1:33" x14ac:dyDescent="0.2">
      <c r="A119" s="8">
        <v>9212</v>
      </c>
      <c r="B119" s="9" t="s">
        <v>317</v>
      </c>
      <c r="C119" s="10">
        <v>43511</v>
      </c>
      <c r="D119" s="11">
        <v>62</v>
      </c>
      <c r="E119" s="12" t="s">
        <v>34</v>
      </c>
      <c r="F119" s="12" t="s">
        <v>35</v>
      </c>
      <c r="G119" s="12" t="s">
        <v>36</v>
      </c>
      <c r="H119" s="12" t="s">
        <v>37</v>
      </c>
      <c r="I119" s="11" t="s">
        <v>350</v>
      </c>
      <c r="J119" s="12" t="s">
        <v>351</v>
      </c>
      <c r="K119" s="15" t="s">
        <v>125</v>
      </c>
      <c r="L119" s="11" t="str">
        <f>"000195"</f>
        <v>000195</v>
      </c>
      <c r="M119" s="10">
        <v>43133</v>
      </c>
      <c r="N119" s="11" t="str">
        <f>"000084"</f>
        <v>000084</v>
      </c>
      <c r="O119" s="10">
        <v>43399</v>
      </c>
      <c r="P119" s="11" t="str">
        <f>"000131"</f>
        <v>000131</v>
      </c>
      <c r="Q119" s="10">
        <v>43402</v>
      </c>
      <c r="R119" s="11"/>
      <c r="S119" s="11" t="str">
        <f>"009261"</f>
        <v>009261</v>
      </c>
      <c r="T119" s="10">
        <v>43510</v>
      </c>
      <c r="U119" s="14">
        <v>14.891170000000001</v>
      </c>
      <c r="V119" s="14">
        <v>1.673</v>
      </c>
      <c r="W119" s="14">
        <v>13.218170000000001</v>
      </c>
      <c r="X119" s="11">
        <v>353</v>
      </c>
      <c r="Y119" s="10">
        <v>43511</v>
      </c>
      <c r="Z119" s="11">
        <v>9886010878</v>
      </c>
      <c r="AA119" s="12" t="s">
        <v>41</v>
      </c>
      <c r="AB119" s="11" t="s">
        <v>126</v>
      </c>
      <c r="AC119" s="12" t="s">
        <v>127</v>
      </c>
      <c r="AD119" s="11" t="s">
        <v>44</v>
      </c>
      <c r="AE119" s="12" t="s">
        <v>45</v>
      </c>
      <c r="AF119" s="14">
        <f t="shared" si="0"/>
        <v>0.14891170000000001</v>
      </c>
      <c r="AG119" s="11" t="s">
        <v>59</v>
      </c>
    </row>
    <row r="120" spans="1:33" x14ac:dyDescent="0.2">
      <c r="A120" s="8">
        <v>9401</v>
      </c>
      <c r="B120" s="9" t="s">
        <v>317</v>
      </c>
      <c r="C120" s="10">
        <v>43524</v>
      </c>
      <c r="D120" s="11">
        <v>62</v>
      </c>
      <c r="E120" s="12" t="s">
        <v>34</v>
      </c>
      <c r="F120" s="12" t="s">
        <v>35</v>
      </c>
      <c r="G120" s="12" t="s">
        <v>36</v>
      </c>
      <c r="H120" s="12" t="s">
        <v>37</v>
      </c>
      <c r="I120" s="11" t="s">
        <v>352</v>
      </c>
      <c r="J120" s="12" t="s">
        <v>353</v>
      </c>
      <c r="K120" s="13" t="s">
        <v>55</v>
      </c>
      <c r="L120" s="11" t="str">
        <f>"000132"</f>
        <v>000132</v>
      </c>
      <c r="M120" s="10">
        <v>43396</v>
      </c>
      <c r="N120" s="11" t="str">
        <f>"000099"</f>
        <v>000099</v>
      </c>
      <c r="O120" s="10">
        <v>43404</v>
      </c>
      <c r="P120" s="11" t="str">
        <f>"000153"</f>
        <v>000153</v>
      </c>
      <c r="Q120" s="10">
        <v>43404</v>
      </c>
      <c r="R120" s="11"/>
      <c r="S120" s="11" t="str">
        <f>"009456"</f>
        <v>009456</v>
      </c>
      <c r="T120" s="10">
        <v>43519</v>
      </c>
      <c r="U120" s="14">
        <v>9.9777000000000005</v>
      </c>
      <c r="V120" s="14">
        <v>1.2010000000000001</v>
      </c>
      <c r="W120" s="14">
        <v>8.7766999999999999</v>
      </c>
      <c r="X120" s="11">
        <v>362</v>
      </c>
      <c r="Y120" s="10">
        <v>43524</v>
      </c>
      <c r="Z120" s="11">
        <v>9856457854</v>
      </c>
      <c r="AA120" s="12" t="s">
        <v>41</v>
      </c>
      <c r="AB120" s="11" t="s">
        <v>315</v>
      </c>
      <c r="AC120" s="12" t="s">
        <v>316</v>
      </c>
      <c r="AD120" s="11" t="s">
        <v>44</v>
      </c>
      <c r="AE120" s="12" t="s">
        <v>45</v>
      </c>
      <c r="AF120" s="14">
        <f t="shared" si="0"/>
        <v>9.9777000000000005E-2</v>
      </c>
      <c r="AG120" s="11" t="s">
        <v>118</v>
      </c>
    </row>
    <row r="121" spans="1:33" x14ac:dyDescent="0.2">
      <c r="A121" s="8">
        <v>10120</v>
      </c>
      <c r="B121" s="9" t="s">
        <v>354</v>
      </c>
      <c r="C121" s="10">
        <v>43552</v>
      </c>
      <c r="D121" s="11">
        <v>62</v>
      </c>
      <c r="E121" s="12" t="s">
        <v>34</v>
      </c>
      <c r="F121" s="12" t="s">
        <v>35</v>
      </c>
      <c r="G121" s="12" t="s">
        <v>36</v>
      </c>
      <c r="H121" s="12" t="s">
        <v>37</v>
      </c>
      <c r="I121" s="11" t="s">
        <v>355</v>
      </c>
      <c r="J121" s="12" t="s">
        <v>356</v>
      </c>
      <c r="K121" s="13" t="s">
        <v>77</v>
      </c>
      <c r="L121" s="11" t="str">
        <f>"000172"</f>
        <v>000172</v>
      </c>
      <c r="M121" s="10">
        <v>43095</v>
      </c>
      <c r="N121" s="11" t="str">
        <f>"000026"</f>
        <v>000026</v>
      </c>
      <c r="O121" s="10">
        <v>43095</v>
      </c>
      <c r="P121" s="11" t="str">
        <f>"000219"</f>
        <v>000219</v>
      </c>
      <c r="Q121" s="10">
        <v>43096</v>
      </c>
      <c r="R121" s="11"/>
      <c r="S121" s="11" t="str">
        <f>"010155"</f>
        <v>010155</v>
      </c>
      <c r="T121" s="10">
        <v>43552</v>
      </c>
      <c r="U121" s="14">
        <v>5.2297399999999996</v>
      </c>
      <c r="V121" s="14">
        <v>0.52825</v>
      </c>
      <c r="W121" s="14">
        <v>4.7014899999999997</v>
      </c>
      <c r="X121" s="11">
        <v>392</v>
      </c>
      <c r="Y121" s="10">
        <v>43552</v>
      </c>
      <c r="Z121" s="11">
        <v>9448049099</v>
      </c>
      <c r="AA121" s="12" t="s">
        <v>56</v>
      </c>
      <c r="AB121" s="11" t="s">
        <v>51</v>
      </c>
      <c r="AC121" s="12" t="s">
        <v>52</v>
      </c>
      <c r="AD121" s="11" t="s">
        <v>44</v>
      </c>
      <c r="AE121" s="12" t="s">
        <v>45</v>
      </c>
      <c r="AF121" s="14">
        <f t="shared" si="0"/>
        <v>5.2297399999999994E-2</v>
      </c>
      <c r="AG121" s="11" t="s">
        <v>46</v>
      </c>
    </row>
    <row r="122" spans="1:33" x14ac:dyDescent="0.2">
      <c r="A122" s="8">
        <v>10121</v>
      </c>
      <c r="B122" s="9" t="s">
        <v>354</v>
      </c>
      <c r="C122" s="10">
        <v>43552</v>
      </c>
      <c r="D122" s="11">
        <v>62</v>
      </c>
      <c r="E122" s="12" t="s">
        <v>34</v>
      </c>
      <c r="F122" s="12" t="s">
        <v>35</v>
      </c>
      <c r="G122" s="12" t="s">
        <v>36</v>
      </c>
      <c r="H122" s="12" t="s">
        <v>37</v>
      </c>
      <c r="I122" s="11" t="s">
        <v>357</v>
      </c>
      <c r="J122" s="12" t="s">
        <v>358</v>
      </c>
      <c r="K122" s="13" t="s">
        <v>77</v>
      </c>
      <c r="L122" s="11" t="str">
        <f>"000171"</f>
        <v>000171</v>
      </c>
      <c r="M122" s="10">
        <v>43095</v>
      </c>
      <c r="N122" s="11" t="str">
        <f>"000027"</f>
        <v>000027</v>
      </c>
      <c r="O122" s="10">
        <v>43095</v>
      </c>
      <c r="P122" s="11" t="str">
        <f>"000220"</f>
        <v>000220</v>
      </c>
      <c r="Q122" s="10">
        <v>43096</v>
      </c>
      <c r="R122" s="11"/>
      <c r="S122" s="11" t="str">
        <f>"010156"</f>
        <v>010156</v>
      </c>
      <c r="T122" s="10">
        <v>43552</v>
      </c>
      <c r="U122" s="14">
        <v>5.2195900000000002</v>
      </c>
      <c r="V122" s="14">
        <v>0.52544999999999997</v>
      </c>
      <c r="W122" s="14">
        <v>4.69414</v>
      </c>
      <c r="X122" s="11">
        <v>392</v>
      </c>
      <c r="Y122" s="10">
        <v>43552</v>
      </c>
      <c r="Z122" s="11">
        <v>9448049099</v>
      </c>
      <c r="AA122" s="12" t="s">
        <v>359</v>
      </c>
      <c r="AB122" s="11" t="s">
        <v>51</v>
      </c>
      <c r="AC122" s="12" t="s">
        <v>52</v>
      </c>
      <c r="AD122" s="11" t="s">
        <v>44</v>
      </c>
      <c r="AE122" s="12" t="s">
        <v>45</v>
      </c>
      <c r="AF122" s="14">
        <f t="shared" si="0"/>
        <v>5.2195900000000003E-2</v>
      </c>
      <c r="AG122" s="11" t="s">
        <v>46</v>
      </c>
    </row>
  </sheetData>
  <sortState ref="A2:AG12362">
    <sortCondition ref="D2:D12362"/>
    <sortCondition ref="C2:C12362"/>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1st Apr 2018 31st Mar 2019</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Manjunath HL</dc:creator>
  <cp:lastModifiedBy>Manjunath HL</cp:lastModifiedBy>
  <dcterms:created xsi:type="dcterms:W3CDTF">2019-03-05T06:25:51Z</dcterms:created>
  <dcterms:modified xsi:type="dcterms:W3CDTF">2019-06-13T07:42:38Z</dcterms:modified>
</cp:coreProperties>
</file>